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Fiscal Services\Projects\Fee Project\2022\New Spreadsheets\Updated Spreadsheets\Date Fixed\"/>
    </mc:Choice>
  </mc:AlternateContent>
  <xr:revisionPtr revIDLastSave="0" documentId="8_{50093E31-1F68-452B-AEA1-381E618EC8CA}" xr6:coauthVersionLast="36" xr6:coauthVersionMax="36" xr10:uidLastSave="{00000000-0000-0000-0000-000000000000}"/>
  <bookViews>
    <workbookView xWindow="0" yWindow="210" windowWidth="15570" windowHeight="9315" tabRatio="699" firstSheet="4" activeTab="4" xr2:uid="{00000000-000D-0000-FFFF-FFFF00000000}"/>
  </bookViews>
  <sheets>
    <sheet name="EMD" sheetId="5" state="hidden" r:id="rId1"/>
    <sheet name="Courts" sheetId="7" state="hidden" r:id="rId2"/>
    <sheet name="AG" sheetId="1" state="hidden" r:id="rId3"/>
    <sheet name="DOC" sheetId="2" state="hidden" r:id="rId4"/>
    <sheet name="DPS 2" sheetId="3" r:id="rId5"/>
    <sheet name="ILEA" sheetId="6" state="hidden" r:id="rId6"/>
  </sheets>
  <definedNames>
    <definedName name="_xlnm._FilterDatabase" localSheetId="4" hidden="1">'DPS 2'!$A$1:$BK$169</definedName>
    <definedName name="_xlnm.Print_Area" localSheetId="2">AG!$A$1:$AN$10</definedName>
    <definedName name="_xlnm.Print_Area" localSheetId="1">Courts!$A$1:$AN$27</definedName>
    <definedName name="_xlnm.Print_Area" localSheetId="3">DOC!$B$1:$BF$155</definedName>
    <definedName name="_xlnm.Print_Area" localSheetId="4">'DPS 2'!$A$1:$AT$90</definedName>
    <definedName name="_xlnm.Print_Area" localSheetId="0">EMD!$A$1:$AN$6</definedName>
    <definedName name="_xlnm.Print_Area" localSheetId="5">ILEA!$A$1:$AO$100</definedName>
    <definedName name="_xlnm.Print_Titles" localSheetId="2">AG!$1:$1</definedName>
    <definedName name="_xlnm.Print_Titles" localSheetId="3">DOC!$1:$1</definedName>
    <definedName name="_xlnm.Print_Titles" localSheetId="4">'DPS 2'!$1:$1</definedName>
    <definedName name="_xlnm.Print_Titles" localSheetId="5">ILEA!$1:$1</definedName>
  </definedNames>
  <calcPr calcId="191029"/>
</workbook>
</file>

<file path=xl/calcChain.xml><?xml version="1.0" encoding="utf-8"?>
<calcChain xmlns="http://schemas.openxmlformats.org/spreadsheetml/2006/main">
  <c r="AT90" i="3" l="1"/>
  <c r="AR90" i="3"/>
  <c r="AQ90" i="3"/>
  <c r="AO90" i="3"/>
  <c r="BD147" i="2" l="1"/>
  <c r="BB147" i="2"/>
  <c r="AX147" i="2"/>
  <c r="AV147" i="2"/>
  <c r="AN100" i="6" l="1"/>
  <c r="AL100" i="6"/>
  <c r="AK100" i="6"/>
  <c r="AI100" i="6"/>
  <c r="AF100" i="6"/>
  <c r="AC100" i="6"/>
  <c r="Y100" i="6"/>
  <c r="U88" i="6"/>
  <c r="Q88" i="6"/>
  <c r="W87" i="6"/>
  <c r="W86" i="6"/>
  <c r="S86" i="6"/>
  <c r="W85" i="6"/>
  <c r="W84" i="6"/>
  <c r="W83" i="6"/>
  <c r="W82" i="6"/>
  <c r="AH81" i="6"/>
  <c r="AE81" i="6"/>
  <c r="AA81" i="6"/>
  <c r="W81" i="6"/>
  <c r="S81" i="6"/>
  <c r="AH80" i="6"/>
  <c r="AE80" i="6"/>
  <c r="AA80" i="6"/>
  <c r="W80" i="6"/>
  <c r="S80" i="6"/>
  <c r="AH79" i="6"/>
  <c r="AE79" i="6"/>
  <c r="AA79" i="6"/>
  <c r="W79" i="6"/>
  <c r="S79" i="6"/>
  <c r="AH78" i="6"/>
  <c r="AE78" i="6"/>
  <c r="AA78" i="6"/>
  <c r="W78" i="6"/>
  <c r="S78" i="6"/>
  <c r="AH77" i="6"/>
  <c r="AE77" i="6"/>
  <c r="AA77" i="6"/>
  <c r="W77" i="6"/>
  <c r="S77" i="6"/>
  <c r="AH76" i="6"/>
  <c r="AH75" i="6"/>
  <c r="AE75" i="6"/>
  <c r="AA75" i="6"/>
  <c r="W75" i="6"/>
  <c r="AH74" i="6"/>
  <c r="S74" i="6"/>
  <c r="AA73" i="6"/>
  <c r="S73" i="6"/>
  <c r="AH72" i="6"/>
  <c r="AE72" i="6"/>
  <c r="AA72" i="6"/>
  <c r="W72" i="6"/>
  <c r="S72" i="6"/>
  <c r="AA71" i="6"/>
  <c r="W71" i="6"/>
  <c r="AH70" i="6"/>
  <c r="AE70" i="6"/>
  <c r="AA70" i="6"/>
  <c r="W70" i="6"/>
  <c r="S70" i="6"/>
  <c r="AH69" i="6"/>
  <c r="AA69" i="6"/>
  <c r="W69" i="6"/>
  <c r="AH68" i="6"/>
  <c r="AE68" i="6"/>
  <c r="W68" i="6"/>
  <c r="AH65" i="6"/>
  <c r="AE65" i="6"/>
  <c r="AH64" i="6"/>
  <c r="AE64" i="6"/>
  <c r="AA64" i="6"/>
  <c r="W64" i="6"/>
  <c r="S64" i="6"/>
  <c r="W63" i="6"/>
  <c r="S62" i="6"/>
  <c r="W61" i="6"/>
  <c r="AH60" i="6"/>
  <c r="AE60" i="6"/>
  <c r="AA60" i="6"/>
  <c r="W60" i="6"/>
  <c r="W59" i="6"/>
  <c r="S59" i="6"/>
  <c r="W58" i="6"/>
  <c r="S58" i="6"/>
  <c r="W57" i="6"/>
  <c r="S57" i="6"/>
  <c r="AE56" i="6"/>
  <c r="AA56" i="6"/>
  <c r="W56" i="6"/>
  <c r="S55" i="6"/>
  <c r="S54" i="6"/>
  <c r="AH53" i="6"/>
  <c r="AA53" i="6"/>
  <c r="S53" i="6"/>
  <c r="S52" i="6"/>
  <c r="AE50" i="6"/>
  <c r="AA50" i="6"/>
  <c r="W50" i="6"/>
  <c r="S50" i="6"/>
  <c r="S49" i="6"/>
  <c r="AH48" i="6"/>
  <c r="W47" i="6"/>
  <c r="W45" i="6"/>
  <c r="S45" i="6"/>
  <c r="AH44" i="6"/>
  <c r="AA44" i="6"/>
  <c r="W44" i="6"/>
  <c r="S44" i="6"/>
  <c r="AE43" i="6"/>
  <c r="AA43" i="6"/>
  <c r="S43" i="6"/>
  <c r="AH42" i="6"/>
  <c r="AE42" i="6"/>
  <c r="W42" i="6"/>
  <c r="S42" i="6"/>
  <c r="AE41" i="6"/>
  <c r="S41" i="6"/>
  <c r="S40" i="6"/>
  <c r="AE39" i="6"/>
  <c r="W39" i="6"/>
  <c r="AH38" i="6"/>
  <c r="AE38" i="6"/>
  <c r="AA38" i="6"/>
  <c r="W38" i="6"/>
  <c r="S38" i="6"/>
  <c r="W37" i="6"/>
  <c r="AH34" i="6"/>
  <c r="AE34" i="6"/>
  <c r="AA34" i="6"/>
  <c r="W34" i="6"/>
  <c r="S34" i="6"/>
  <c r="S33" i="6"/>
  <c r="AH32" i="6"/>
  <c r="AE32" i="6"/>
  <c r="AA32" i="6"/>
  <c r="W32" i="6"/>
  <c r="S32" i="6"/>
  <c r="AH31" i="6"/>
  <c r="AA31" i="6"/>
  <c r="S31" i="6"/>
  <c r="AH30" i="6"/>
  <c r="AE30" i="6"/>
  <c r="AA30" i="6"/>
  <c r="W30" i="6"/>
  <c r="S30" i="6"/>
  <c r="AH29" i="6"/>
  <c r="AE29" i="6"/>
  <c r="AA29" i="6"/>
  <c r="W29" i="6"/>
  <c r="S29" i="6"/>
  <c r="AH28" i="6"/>
  <c r="AE28" i="6"/>
  <c r="AA28" i="6"/>
  <c r="W28" i="6"/>
  <c r="S28" i="6"/>
  <c r="S27" i="6"/>
  <c r="AA26" i="6"/>
  <c r="W26" i="6"/>
  <c r="AH25" i="6"/>
  <c r="AE25" i="6"/>
  <c r="AA25" i="6"/>
  <c r="S25" i="6"/>
  <c r="AE24" i="6"/>
  <c r="S24" i="6"/>
  <c r="S23" i="6"/>
  <c r="AH22" i="6"/>
  <c r="AE22" i="6"/>
  <c r="AA22" i="6"/>
  <c r="S22" i="6"/>
  <c r="AE21" i="6"/>
  <c r="AA21" i="6"/>
  <c r="W21" i="6"/>
  <c r="S21" i="6"/>
  <c r="AH20" i="6"/>
  <c r="AE20" i="6"/>
  <c r="AA20" i="6"/>
  <c r="W20" i="6"/>
  <c r="S20" i="6"/>
  <c r="AH17" i="6"/>
  <c r="AE17" i="6"/>
  <c r="AA17" i="6"/>
  <c r="W17" i="6"/>
  <c r="S17" i="6"/>
  <c r="S16" i="6"/>
  <c r="AH15" i="6"/>
  <c r="AE15" i="6"/>
  <c r="W15" i="6"/>
  <c r="S15" i="6"/>
  <c r="AH14" i="6"/>
  <c r="AA14" i="6"/>
  <c r="S14" i="6"/>
  <c r="AH13" i="6"/>
  <c r="AE13" i="6"/>
  <c r="AA13" i="6"/>
  <c r="W13" i="6"/>
  <c r="AE12" i="6"/>
  <c r="AH11" i="6"/>
  <c r="AE11" i="6"/>
  <c r="AA11" i="6"/>
  <c r="W11" i="6"/>
  <c r="S11" i="6"/>
  <c r="AH10" i="6"/>
  <c r="AE10" i="6"/>
  <c r="AA10" i="6"/>
  <c r="W10" i="6"/>
  <c r="S10" i="6"/>
  <c r="S9" i="6"/>
  <c r="W8" i="6"/>
  <c r="S8" i="6"/>
  <c r="AH7" i="6"/>
  <c r="AE7" i="6"/>
  <c r="S7" i="6"/>
  <c r="AA6" i="6"/>
  <c r="S6" i="6"/>
  <c r="S5" i="6"/>
  <c r="AA4" i="6"/>
  <c r="S4" i="6"/>
  <c r="AH3" i="6"/>
  <c r="AE3" i="6"/>
  <c r="AA3" i="6"/>
  <c r="W3" i="6"/>
  <c r="S3" i="6"/>
  <c r="AH2" i="6"/>
  <c r="AE2" i="6"/>
  <c r="AA2" i="6"/>
  <c r="W2" i="6"/>
  <c r="S2" i="6"/>
  <c r="S88" i="6" l="1"/>
  <c r="AH100" i="6"/>
  <c r="AE100" i="6"/>
  <c r="AA100" i="6"/>
  <c r="W88" i="6"/>
  <c r="AN4" i="5"/>
  <c r="AK4" i="5"/>
  <c r="AH4" i="5"/>
  <c r="AE4" i="5"/>
  <c r="AA4" i="5"/>
  <c r="W4" i="5"/>
  <c r="S4" i="5"/>
  <c r="AN90" i="3" l="1"/>
  <c r="AM90" i="3"/>
  <c r="AL90" i="3"/>
  <c r="AK90" i="3"/>
  <c r="AJ90" i="3"/>
  <c r="AI90" i="3"/>
  <c r="AH90" i="3"/>
  <c r="AF90" i="3"/>
  <c r="AE90" i="3"/>
  <c r="AC90" i="3"/>
  <c r="AA90" i="3"/>
  <c r="Y90" i="3"/>
  <c r="W90" i="3"/>
  <c r="U90" i="3"/>
  <c r="S90" i="3"/>
  <c r="Q90" i="3"/>
  <c r="AP147" i="2" l="1"/>
  <c r="AN147" i="2"/>
  <c r="AJ147" i="2"/>
  <c r="AH147" i="2"/>
  <c r="AD147" i="2"/>
  <c r="AB147" i="2"/>
  <c r="AA147" i="2"/>
  <c r="Z147" i="2"/>
  <c r="Y147" i="2"/>
  <c r="X147" i="2"/>
  <c r="W147" i="2"/>
  <c r="U147" i="2"/>
  <c r="T147" i="2"/>
  <c r="R147" i="2"/>
  <c r="V121" i="2"/>
  <c r="V147" i="2" s="1"/>
  <c r="BF41" i="2"/>
  <c r="AZ41" i="2"/>
  <c r="AR41" i="2"/>
  <c r="BF40" i="2"/>
  <c r="AZ40" i="2"/>
  <c r="AR40" i="2"/>
  <c r="AK2" i="7" l="1"/>
  <c r="AH8" i="7"/>
  <c r="AH11" i="7"/>
  <c r="AE12" i="7"/>
  <c r="AH12" i="7"/>
  <c r="AK12" i="7"/>
  <c r="AH13" i="7"/>
  <c r="AK13" i="7"/>
  <c r="Q16" i="7"/>
  <c r="S16" i="7"/>
  <c r="U16" i="7"/>
  <c r="W16" i="7"/>
  <c r="X16" i="7"/>
  <c r="Y16" i="7"/>
  <c r="Z16" i="7"/>
  <c r="AA16" i="7"/>
  <c r="AB16" i="7"/>
  <c r="AC16" i="7"/>
  <c r="AD16" i="7"/>
  <c r="AE16" i="7"/>
  <c r="AF16" i="7"/>
  <c r="AG16" i="7"/>
  <c r="AI16" i="7"/>
  <c r="AJ16" i="7"/>
  <c r="AL16" i="7"/>
  <c r="AM16" i="7"/>
  <c r="AK16" i="7" l="1"/>
  <c r="AH16" i="7"/>
  <c r="AN4" i="1"/>
  <c r="AL4" i="1"/>
  <c r="AK4" i="1"/>
  <c r="AI4" i="1"/>
  <c r="AH4" i="1" l="1"/>
  <c r="AF4" i="1"/>
  <c r="AE4" i="1"/>
  <c r="AC4" i="1"/>
  <c r="AA4" i="1"/>
  <c r="Y4" i="1"/>
  <c r="Q4" i="1" l="1"/>
  <c r="U4" i="1"/>
  <c r="W4" i="1"/>
  <c r="S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Seiler, Katelyn</author>
    <author>heuton</author>
  </authors>
  <commentList>
    <comment ref="BG2" authorId="0" shapeId="0" xr:uid="{00000000-0006-0000-0400-000001000000}">
      <text>
        <r>
          <rPr>
            <b/>
            <sz val="9"/>
            <color indexed="81"/>
            <rFont val="Tahoma"/>
            <family val="2"/>
          </rPr>
          <t>Seiler, Katelyn:</t>
        </r>
        <r>
          <rPr>
            <sz val="9"/>
            <color indexed="81"/>
            <rFont val="Tahoma"/>
            <family val="2"/>
          </rPr>
          <t xml:space="preserve">
Provided by Sara McDermott</t>
        </r>
      </text>
    </comment>
    <comment ref="BH2" authorId="0" shapeId="0" xr:uid="{00000000-0006-0000-0400-000002000000}">
      <text>
        <r>
          <rPr>
            <b/>
            <sz val="9"/>
            <color indexed="81"/>
            <rFont val="Tahoma"/>
            <family val="2"/>
          </rPr>
          <t>Seiler, Katelyn:</t>
        </r>
        <r>
          <rPr>
            <sz val="9"/>
            <color indexed="81"/>
            <rFont val="Tahoma"/>
            <family val="2"/>
          </rPr>
          <t xml:space="preserve">
Seiler, Katelyn:
Provided by Sara McDermott</t>
        </r>
      </text>
    </comment>
    <comment ref="BI2" authorId="0" shapeId="0" xr:uid="{00000000-0006-0000-0400-000003000000}">
      <text>
        <r>
          <rPr>
            <b/>
            <sz val="9"/>
            <color indexed="81"/>
            <rFont val="Tahoma"/>
            <family val="2"/>
          </rPr>
          <t>Seiler, Katelyn:</t>
        </r>
        <r>
          <rPr>
            <sz val="9"/>
            <color indexed="81"/>
            <rFont val="Tahoma"/>
            <family val="2"/>
          </rPr>
          <t xml:space="preserve">
Seiler, Katelyn:
Provided by Sara McDermott</t>
        </r>
      </text>
    </comment>
    <comment ref="BJ2" authorId="0" shapeId="0" xr:uid="{00000000-0006-0000-0400-000004000000}">
      <text>
        <r>
          <rPr>
            <b/>
            <sz val="9"/>
            <color indexed="81"/>
            <rFont val="Tahoma"/>
            <family val="2"/>
          </rPr>
          <t>Seiler, Katelyn:</t>
        </r>
        <r>
          <rPr>
            <sz val="9"/>
            <color indexed="81"/>
            <rFont val="Tahoma"/>
            <family val="2"/>
          </rPr>
          <t xml:space="preserve">
Seiler, Katelyn:
Provided by Sara McDermott</t>
        </r>
      </text>
    </comment>
    <comment ref="O3" authorId="1" shapeId="0" xr:uid="{00000000-0006-0000-0400-000005000000}">
      <text>
        <r>
          <rPr>
            <b/>
            <sz val="10"/>
            <color indexed="81"/>
            <rFont val="Tahoma"/>
            <family val="2"/>
          </rPr>
          <t>heuton:</t>
        </r>
        <r>
          <rPr>
            <sz val="10"/>
            <color indexed="81"/>
            <rFont val="Tahoma"/>
            <family val="2"/>
          </rPr>
          <t xml:space="preserve">
While the fee structure changed in 2010 it was changed from a $10 one-year permit to a $50 5-year permit.  Any change in fees collected will be based on volume.</t>
        </r>
      </text>
    </comment>
    <comment ref="S3" authorId="1" shapeId="0" xr:uid="{00000000-0006-0000-0400-000006000000}">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AA3" authorId="1" shapeId="0" xr:uid="{00000000-0006-0000-0400-000007000000}">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BG3" authorId="0" shapeId="0" xr:uid="{00000000-0006-0000-0400-000008000000}">
      <text>
        <r>
          <rPr>
            <b/>
            <sz val="9"/>
            <color indexed="81"/>
            <rFont val="Tahoma"/>
            <family val="2"/>
          </rPr>
          <t>Seiler, Katelyn:</t>
        </r>
        <r>
          <rPr>
            <sz val="9"/>
            <color indexed="81"/>
            <rFont val="Tahoma"/>
            <family val="2"/>
          </rPr>
          <t xml:space="preserve">
Provided by Kimberly Adams, Program Services Bureau
</t>
        </r>
      </text>
    </comment>
    <comment ref="BH3" authorId="0" shapeId="0" xr:uid="{00000000-0006-0000-0400-000009000000}">
      <text>
        <r>
          <rPr>
            <b/>
            <sz val="9"/>
            <color indexed="81"/>
            <rFont val="Tahoma"/>
            <family val="2"/>
          </rPr>
          <t>Seiler, Katelyn:</t>
        </r>
        <r>
          <rPr>
            <sz val="9"/>
            <color indexed="81"/>
            <rFont val="Tahoma"/>
            <family val="2"/>
          </rPr>
          <t xml:space="preserve">
Provided by Kimberly Adams, Program Services Bureau</t>
        </r>
      </text>
    </comment>
    <comment ref="BI3" authorId="0" shapeId="0" xr:uid="{00000000-0006-0000-0400-00000A000000}">
      <text>
        <r>
          <rPr>
            <b/>
            <sz val="9"/>
            <color indexed="81"/>
            <rFont val="Tahoma"/>
            <family val="2"/>
          </rPr>
          <t>Seiler, Katelyn:</t>
        </r>
        <r>
          <rPr>
            <sz val="9"/>
            <color indexed="81"/>
            <rFont val="Tahoma"/>
            <family val="2"/>
          </rPr>
          <t xml:space="preserve">
Provided by Kimberly Adams, Program Services Bureau</t>
        </r>
      </text>
    </comment>
    <comment ref="BJ3" authorId="0" shapeId="0" xr:uid="{00000000-0006-0000-0400-00000B000000}">
      <text>
        <r>
          <rPr>
            <b/>
            <sz val="9"/>
            <color indexed="81"/>
            <rFont val="Tahoma"/>
            <family val="2"/>
          </rPr>
          <t>Seiler, Katelyn:</t>
        </r>
        <r>
          <rPr>
            <sz val="9"/>
            <color indexed="81"/>
            <rFont val="Tahoma"/>
            <family val="2"/>
          </rPr>
          <t xml:space="preserve">
Provided by Kimberly Adams, Program Services Bureau</t>
        </r>
      </text>
    </comment>
    <comment ref="BG4" authorId="0" shapeId="0" xr:uid="{00000000-0006-0000-0400-00000C000000}">
      <text>
        <r>
          <rPr>
            <b/>
            <sz val="9"/>
            <color indexed="81"/>
            <rFont val="Tahoma"/>
            <family val="2"/>
          </rPr>
          <t>Seiler, Katelyn:</t>
        </r>
        <r>
          <rPr>
            <sz val="9"/>
            <color indexed="81"/>
            <rFont val="Tahoma"/>
            <family val="2"/>
          </rPr>
          <t xml:space="preserve">
Provided by Kimberly Adams, Program Services Bureau</t>
        </r>
      </text>
    </comment>
    <comment ref="BH4" authorId="0" shapeId="0" xr:uid="{00000000-0006-0000-0400-00000D000000}">
      <text>
        <r>
          <rPr>
            <b/>
            <sz val="9"/>
            <color indexed="81"/>
            <rFont val="Tahoma"/>
            <family val="2"/>
          </rPr>
          <t>Seiler, Katelyn:</t>
        </r>
        <r>
          <rPr>
            <sz val="9"/>
            <color indexed="81"/>
            <rFont val="Tahoma"/>
            <family val="2"/>
          </rPr>
          <t xml:space="preserve">
Provided by Kimberly Adams, Program Services Bureau</t>
        </r>
      </text>
    </comment>
    <comment ref="BI4" authorId="0" shapeId="0" xr:uid="{00000000-0006-0000-0400-00000E000000}">
      <text>
        <r>
          <rPr>
            <b/>
            <sz val="9"/>
            <color indexed="81"/>
            <rFont val="Tahoma"/>
            <family val="2"/>
          </rPr>
          <t>Seiler, Katelyn:</t>
        </r>
        <r>
          <rPr>
            <sz val="9"/>
            <color indexed="81"/>
            <rFont val="Tahoma"/>
            <family val="2"/>
          </rPr>
          <t xml:space="preserve">
Provided by Kimberly Adams, Program Services Bureau</t>
        </r>
      </text>
    </comment>
    <comment ref="BJ4" authorId="0" shapeId="0" xr:uid="{00000000-0006-0000-0400-00000F000000}">
      <text>
        <r>
          <rPr>
            <b/>
            <sz val="9"/>
            <color indexed="81"/>
            <rFont val="Tahoma"/>
            <family val="2"/>
          </rPr>
          <t>Seiler, Katelyn:</t>
        </r>
        <r>
          <rPr>
            <sz val="9"/>
            <color indexed="81"/>
            <rFont val="Tahoma"/>
            <family val="2"/>
          </rPr>
          <t xml:space="preserve">
Provided by Kimberly Adams, Program Services Bureau</t>
        </r>
      </text>
    </comment>
    <comment ref="BG5" authorId="0" shapeId="0" xr:uid="{00000000-0006-0000-0400-000010000000}">
      <text>
        <r>
          <rPr>
            <b/>
            <sz val="9"/>
            <color indexed="81"/>
            <rFont val="Tahoma"/>
            <family val="2"/>
          </rPr>
          <t>Seiler, Katelyn:</t>
        </r>
        <r>
          <rPr>
            <sz val="9"/>
            <color indexed="81"/>
            <rFont val="Tahoma"/>
            <family val="2"/>
          </rPr>
          <t xml:space="preserve">
Provided by Kimberly Adams, Program Services Bureau</t>
        </r>
      </text>
    </comment>
    <comment ref="BH5" authorId="0" shapeId="0" xr:uid="{00000000-0006-0000-0400-000011000000}">
      <text>
        <r>
          <rPr>
            <b/>
            <sz val="9"/>
            <color indexed="81"/>
            <rFont val="Tahoma"/>
            <family val="2"/>
          </rPr>
          <t>Seiler, Katelyn:</t>
        </r>
        <r>
          <rPr>
            <sz val="9"/>
            <color indexed="81"/>
            <rFont val="Tahoma"/>
            <family val="2"/>
          </rPr>
          <t xml:space="preserve">
Provided by Kimberly Adams, Program Services Bureau</t>
        </r>
      </text>
    </comment>
    <comment ref="BI5" authorId="0" shapeId="0" xr:uid="{00000000-0006-0000-0400-000012000000}">
      <text>
        <r>
          <rPr>
            <b/>
            <sz val="9"/>
            <color indexed="81"/>
            <rFont val="Tahoma"/>
            <family val="2"/>
          </rPr>
          <t>Seiler, Katelyn:</t>
        </r>
        <r>
          <rPr>
            <sz val="9"/>
            <color indexed="81"/>
            <rFont val="Tahoma"/>
            <family val="2"/>
          </rPr>
          <t xml:space="preserve">
Provided by Kimberly Adams, Program Services Bureau</t>
        </r>
      </text>
    </comment>
    <comment ref="BJ5" authorId="0" shapeId="0" xr:uid="{00000000-0006-0000-0400-000013000000}">
      <text>
        <r>
          <rPr>
            <b/>
            <sz val="9"/>
            <color indexed="81"/>
            <rFont val="Tahoma"/>
            <family val="2"/>
          </rPr>
          <t>Seiler, Katelyn:</t>
        </r>
        <r>
          <rPr>
            <sz val="9"/>
            <color indexed="81"/>
            <rFont val="Tahoma"/>
            <family val="2"/>
          </rPr>
          <t xml:space="preserve">
Provided by Kimberly Adams, Program Services Bureau</t>
        </r>
      </text>
    </comment>
    <comment ref="BG6" authorId="0" shapeId="0" xr:uid="{00000000-0006-0000-0400-000014000000}">
      <text>
        <r>
          <rPr>
            <b/>
            <sz val="9"/>
            <color indexed="81"/>
            <rFont val="Tahoma"/>
            <family val="2"/>
          </rPr>
          <t>Seiler, Katelyn:</t>
        </r>
        <r>
          <rPr>
            <sz val="9"/>
            <color indexed="81"/>
            <rFont val="Tahoma"/>
            <family val="2"/>
          </rPr>
          <t xml:space="preserve">
Provided by Kimberly Adams, Program Services Bureau</t>
        </r>
      </text>
    </comment>
    <comment ref="BH6" authorId="0" shapeId="0" xr:uid="{00000000-0006-0000-0400-000015000000}">
      <text>
        <r>
          <rPr>
            <b/>
            <sz val="9"/>
            <color indexed="81"/>
            <rFont val="Tahoma"/>
            <family val="2"/>
          </rPr>
          <t>Seiler, Katelyn:</t>
        </r>
        <r>
          <rPr>
            <sz val="9"/>
            <color indexed="81"/>
            <rFont val="Tahoma"/>
            <family val="2"/>
          </rPr>
          <t xml:space="preserve">
Provided by Kimberly Adams, Program Services Bureau</t>
        </r>
      </text>
    </comment>
    <comment ref="BI6" authorId="0" shapeId="0" xr:uid="{00000000-0006-0000-0400-000016000000}">
      <text>
        <r>
          <rPr>
            <b/>
            <sz val="9"/>
            <color indexed="81"/>
            <rFont val="Tahoma"/>
            <family val="2"/>
          </rPr>
          <t>Seiler, Katelyn:</t>
        </r>
        <r>
          <rPr>
            <sz val="9"/>
            <color indexed="81"/>
            <rFont val="Tahoma"/>
            <family val="2"/>
          </rPr>
          <t xml:space="preserve">
Provided by Kimberly Adams, Program Services Bureau</t>
        </r>
      </text>
    </comment>
    <comment ref="BJ6" authorId="0" shapeId="0" xr:uid="{00000000-0006-0000-0400-000017000000}">
      <text>
        <r>
          <rPr>
            <b/>
            <sz val="9"/>
            <color indexed="81"/>
            <rFont val="Tahoma"/>
            <family val="2"/>
          </rPr>
          <t>Seiler, Katelyn:</t>
        </r>
        <r>
          <rPr>
            <sz val="9"/>
            <color indexed="81"/>
            <rFont val="Tahoma"/>
            <family val="2"/>
          </rPr>
          <t xml:space="preserve">
Provided by Kimberly Adams, Program Services Bureau</t>
        </r>
      </text>
    </comment>
    <comment ref="BG7" authorId="0" shapeId="0" xr:uid="{00000000-0006-0000-0400-000018000000}">
      <text>
        <r>
          <rPr>
            <b/>
            <sz val="9"/>
            <color indexed="81"/>
            <rFont val="Tahoma"/>
            <family val="2"/>
          </rPr>
          <t>Seiler, Katelyn:</t>
        </r>
        <r>
          <rPr>
            <sz val="9"/>
            <color indexed="81"/>
            <rFont val="Tahoma"/>
            <family val="2"/>
          </rPr>
          <t xml:space="preserve">
Provided by Kimberly Adams, Program Services Bureau</t>
        </r>
      </text>
    </comment>
    <comment ref="BH7" authorId="0" shapeId="0" xr:uid="{00000000-0006-0000-0400-000019000000}">
      <text>
        <r>
          <rPr>
            <b/>
            <sz val="9"/>
            <color indexed="81"/>
            <rFont val="Tahoma"/>
            <family val="2"/>
          </rPr>
          <t>Seiler, Katelyn:</t>
        </r>
        <r>
          <rPr>
            <sz val="9"/>
            <color indexed="81"/>
            <rFont val="Tahoma"/>
            <family val="2"/>
          </rPr>
          <t xml:space="preserve">
Provided by Kimberly Adams, Program Services Bureau</t>
        </r>
      </text>
    </comment>
    <comment ref="BI7" authorId="0" shapeId="0" xr:uid="{00000000-0006-0000-0400-00001A000000}">
      <text>
        <r>
          <rPr>
            <b/>
            <sz val="9"/>
            <color indexed="81"/>
            <rFont val="Tahoma"/>
            <family val="2"/>
          </rPr>
          <t>Seiler, Katelyn:</t>
        </r>
        <r>
          <rPr>
            <sz val="9"/>
            <color indexed="81"/>
            <rFont val="Tahoma"/>
            <family val="2"/>
          </rPr>
          <t xml:space="preserve">
Provided by Kimberly Adams, Program Services Bureau</t>
        </r>
      </text>
    </comment>
    <comment ref="BJ7" authorId="0" shapeId="0" xr:uid="{00000000-0006-0000-0400-00001B000000}">
      <text>
        <r>
          <rPr>
            <b/>
            <sz val="9"/>
            <color indexed="81"/>
            <rFont val="Tahoma"/>
            <family val="2"/>
          </rPr>
          <t>Seiler, Katelyn:</t>
        </r>
        <r>
          <rPr>
            <sz val="9"/>
            <color indexed="81"/>
            <rFont val="Tahoma"/>
            <family val="2"/>
          </rPr>
          <t xml:space="preserve">
Provided by Kimberly Adams, Program Services Bureau</t>
        </r>
      </text>
    </comment>
    <comment ref="BG8" authorId="0" shapeId="0" xr:uid="{00000000-0006-0000-0400-00001C000000}">
      <text>
        <r>
          <rPr>
            <b/>
            <sz val="9"/>
            <color indexed="81"/>
            <rFont val="Tahoma"/>
            <family val="2"/>
          </rPr>
          <t>Seiler, Katelyn:</t>
        </r>
        <r>
          <rPr>
            <sz val="9"/>
            <color indexed="81"/>
            <rFont val="Tahoma"/>
            <family val="2"/>
          </rPr>
          <t xml:space="preserve">
Provided by Kimberly Adams, Program Services Bureau</t>
        </r>
      </text>
    </comment>
    <comment ref="BH8" authorId="0" shapeId="0" xr:uid="{00000000-0006-0000-0400-00001D000000}">
      <text>
        <r>
          <rPr>
            <b/>
            <sz val="9"/>
            <color indexed="81"/>
            <rFont val="Tahoma"/>
            <family val="2"/>
          </rPr>
          <t>Seiler, Katelyn:</t>
        </r>
        <r>
          <rPr>
            <sz val="9"/>
            <color indexed="81"/>
            <rFont val="Tahoma"/>
            <family val="2"/>
          </rPr>
          <t xml:space="preserve">
Provided by Kimberly Adams, Program Services Bureau</t>
        </r>
      </text>
    </comment>
    <comment ref="BI8" authorId="0" shapeId="0" xr:uid="{00000000-0006-0000-0400-00001E000000}">
      <text>
        <r>
          <rPr>
            <b/>
            <sz val="9"/>
            <color indexed="81"/>
            <rFont val="Tahoma"/>
            <family val="2"/>
          </rPr>
          <t>Seiler, Katelyn:</t>
        </r>
        <r>
          <rPr>
            <sz val="9"/>
            <color indexed="81"/>
            <rFont val="Tahoma"/>
            <family val="2"/>
          </rPr>
          <t xml:space="preserve">
Provided by Kimberly Adams, Program Services Bureau</t>
        </r>
      </text>
    </comment>
    <comment ref="BJ8" authorId="0" shapeId="0" xr:uid="{00000000-0006-0000-0400-00001F000000}">
      <text>
        <r>
          <rPr>
            <b/>
            <sz val="9"/>
            <color indexed="81"/>
            <rFont val="Tahoma"/>
            <family val="2"/>
          </rPr>
          <t>Seiler, Katelyn:</t>
        </r>
        <r>
          <rPr>
            <sz val="9"/>
            <color indexed="81"/>
            <rFont val="Tahoma"/>
            <family val="2"/>
          </rPr>
          <t xml:space="preserve">
Provided by Kimberly Adams, Program Services Bureau</t>
        </r>
      </text>
    </comment>
    <comment ref="BG9" authorId="0" shapeId="0" xr:uid="{00000000-0006-0000-0400-000020000000}">
      <text>
        <r>
          <rPr>
            <b/>
            <sz val="9"/>
            <color indexed="81"/>
            <rFont val="Tahoma"/>
            <family val="2"/>
          </rPr>
          <t>Seiler, Katelyn:</t>
        </r>
        <r>
          <rPr>
            <sz val="9"/>
            <color indexed="81"/>
            <rFont val="Tahoma"/>
            <family val="2"/>
          </rPr>
          <t xml:space="preserve">
Provided by Kimberly Adams, Program Services Bureau</t>
        </r>
      </text>
    </comment>
    <comment ref="BH9" authorId="0" shapeId="0" xr:uid="{00000000-0006-0000-0400-000021000000}">
      <text>
        <r>
          <rPr>
            <b/>
            <sz val="9"/>
            <color indexed="81"/>
            <rFont val="Tahoma"/>
            <family val="2"/>
          </rPr>
          <t>Seiler, Katelyn:</t>
        </r>
        <r>
          <rPr>
            <sz val="9"/>
            <color indexed="81"/>
            <rFont val="Tahoma"/>
            <family val="2"/>
          </rPr>
          <t xml:space="preserve">
Provided by Kimberly Adams, Program Services Bureau</t>
        </r>
      </text>
    </comment>
    <comment ref="BI9" authorId="0" shapeId="0" xr:uid="{00000000-0006-0000-0400-000022000000}">
      <text>
        <r>
          <rPr>
            <b/>
            <sz val="9"/>
            <color indexed="81"/>
            <rFont val="Tahoma"/>
            <family val="2"/>
          </rPr>
          <t>Seiler, Katelyn:</t>
        </r>
        <r>
          <rPr>
            <sz val="9"/>
            <color indexed="81"/>
            <rFont val="Tahoma"/>
            <family val="2"/>
          </rPr>
          <t xml:space="preserve">
Provided by Kimberly Adams, Program Services Bureau</t>
        </r>
      </text>
    </comment>
    <comment ref="BJ9" authorId="0" shapeId="0" xr:uid="{00000000-0006-0000-0400-000023000000}">
      <text>
        <r>
          <rPr>
            <b/>
            <sz val="9"/>
            <color indexed="81"/>
            <rFont val="Tahoma"/>
            <family val="2"/>
          </rPr>
          <t>Seiler, Katelyn:</t>
        </r>
        <r>
          <rPr>
            <sz val="9"/>
            <color indexed="81"/>
            <rFont val="Tahoma"/>
            <family val="2"/>
          </rPr>
          <t xml:space="preserve">
Provided by Kimberly Adams, Program Services Bureau</t>
        </r>
      </text>
    </comment>
    <comment ref="BG10" authorId="0" shapeId="0" xr:uid="{00000000-0006-0000-0400-000024000000}">
      <text>
        <r>
          <rPr>
            <b/>
            <sz val="9"/>
            <color indexed="81"/>
            <rFont val="Tahoma"/>
            <family val="2"/>
          </rPr>
          <t>Seiler, Katelyn:</t>
        </r>
        <r>
          <rPr>
            <sz val="9"/>
            <color indexed="81"/>
            <rFont val="Tahoma"/>
            <family val="2"/>
          </rPr>
          <t xml:space="preserve">
Provided by Kimberly Adams, Program Services Bureau</t>
        </r>
      </text>
    </comment>
    <comment ref="BH10" authorId="0" shapeId="0" xr:uid="{00000000-0006-0000-0400-000025000000}">
      <text>
        <r>
          <rPr>
            <b/>
            <sz val="9"/>
            <color indexed="81"/>
            <rFont val="Tahoma"/>
            <family val="2"/>
          </rPr>
          <t>Seiler, Katelyn:</t>
        </r>
        <r>
          <rPr>
            <sz val="9"/>
            <color indexed="81"/>
            <rFont val="Tahoma"/>
            <family val="2"/>
          </rPr>
          <t xml:space="preserve">
Provided by Kimberly Adams, Program Services Bureau</t>
        </r>
      </text>
    </comment>
    <comment ref="BI10" authorId="0" shapeId="0" xr:uid="{00000000-0006-0000-0400-000026000000}">
      <text>
        <r>
          <rPr>
            <b/>
            <sz val="9"/>
            <color indexed="81"/>
            <rFont val="Tahoma"/>
            <family val="2"/>
          </rPr>
          <t>Seiler, Katelyn:</t>
        </r>
        <r>
          <rPr>
            <sz val="9"/>
            <color indexed="81"/>
            <rFont val="Tahoma"/>
            <family val="2"/>
          </rPr>
          <t xml:space="preserve">
Provided by Kimberly Adams, Program Services Bureau</t>
        </r>
      </text>
    </comment>
    <comment ref="BJ10" authorId="0" shapeId="0" xr:uid="{00000000-0006-0000-0400-000027000000}">
      <text>
        <r>
          <rPr>
            <b/>
            <sz val="9"/>
            <color indexed="81"/>
            <rFont val="Tahoma"/>
            <family val="2"/>
          </rPr>
          <t>Seiler, Katelyn:</t>
        </r>
        <r>
          <rPr>
            <sz val="9"/>
            <color indexed="81"/>
            <rFont val="Tahoma"/>
            <family val="2"/>
          </rPr>
          <t xml:space="preserve">
Provided by Kimberly Adams, Program Services Bureau</t>
        </r>
      </text>
    </comment>
    <comment ref="BG11" authorId="0" shapeId="0" xr:uid="{00000000-0006-0000-0400-000028000000}">
      <text>
        <r>
          <rPr>
            <b/>
            <sz val="9"/>
            <color indexed="81"/>
            <rFont val="Tahoma"/>
            <charset val="1"/>
          </rPr>
          <t>Seiler, Katelyn:</t>
        </r>
        <r>
          <rPr>
            <sz val="9"/>
            <color indexed="81"/>
            <rFont val="Tahoma"/>
            <charset val="1"/>
          </rPr>
          <t xml:space="preserve">
Provided by Mike Fisher</t>
        </r>
      </text>
    </comment>
    <comment ref="BH11" authorId="0" shapeId="0" xr:uid="{00000000-0006-0000-0400-000029000000}">
      <text>
        <r>
          <rPr>
            <b/>
            <sz val="9"/>
            <color indexed="81"/>
            <rFont val="Tahoma"/>
            <charset val="1"/>
          </rPr>
          <t>Seiler, Katelyn:</t>
        </r>
        <r>
          <rPr>
            <sz val="9"/>
            <color indexed="81"/>
            <rFont val="Tahoma"/>
            <charset val="1"/>
          </rPr>
          <t xml:space="preserve">
Provided by Mike Fisher</t>
        </r>
      </text>
    </comment>
    <comment ref="BI11" authorId="0" shapeId="0" xr:uid="{00000000-0006-0000-0400-00002A000000}">
      <text>
        <r>
          <rPr>
            <b/>
            <sz val="9"/>
            <color indexed="81"/>
            <rFont val="Tahoma"/>
            <charset val="1"/>
          </rPr>
          <t>Seiler, Katelyn:</t>
        </r>
        <r>
          <rPr>
            <sz val="9"/>
            <color indexed="81"/>
            <rFont val="Tahoma"/>
            <charset val="1"/>
          </rPr>
          <t xml:space="preserve">
Provided by Mike Fisher</t>
        </r>
      </text>
    </comment>
    <comment ref="BJ11" authorId="0" shapeId="0" xr:uid="{00000000-0006-0000-0400-00002B000000}">
      <text>
        <r>
          <rPr>
            <b/>
            <sz val="9"/>
            <color indexed="81"/>
            <rFont val="Tahoma"/>
            <charset val="1"/>
          </rPr>
          <t>Seiler, Katelyn:</t>
        </r>
        <r>
          <rPr>
            <sz val="9"/>
            <color indexed="81"/>
            <rFont val="Tahoma"/>
            <charset val="1"/>
          </rPr>
          <t xml:space="preserve">
Provided by Mike Fisher</t>
        </r>
      </text>
    </comment>
    <comment ref="BG12" authorId="0" shapeId="0" xr:uid="{00000000-0006-0000-0400-00002C000000}">
      <text>
        <r>
          <rPr>
            <b/>
            <sz val="9"/>
            <color indexed="81"/>
            <rFont val="Tahoma"/>
            <charset val="1"/>
          </rPr>
          <t>Seiler, Katelyn:</t>
        </r>
        <r>
          <rPr>
            <sz val="9"/>
            <color indexed="81"/>
            <rFont val="Tahoma"/>
            <charset val="1"/>
          </rPr>
          <t xml:space="preserve">
Provided by Mike Fisher</t>
        </r>
      </text>
    </comment>
    <comment ref="BH12" authorId="0" shapeId="0" xr:uid="{00000000-0006-0000-0400-00002D000000}">
      <text>
        <r>
          <rPr>
            <b/>
            <sz val="9"/>
            <color indexed="81"/>
            <rFont val="Tahoma"/>
            <charset val="1"/>
          </rPr>
          <t>Seiler, Katelyn:</t>
        </r>
        <r>
          <rPr>
            <sz val="9"/>
            <color indexed="81"/>
            <rFont val="Tahoma"/>
            <charset val="1"/>
          </rPr>
          <t xml:space="preserve">
Provided by Mike Fisher</t>
        </r>
      </text>
    </comment>
    <comment ref="BI12" authorId="0" shapeId="0" xr:uid="{00000000-0006-0000-0400-00002E000000}">
      <text>
        <r>
          <rPr>
            <b/>
            <sz val="9"/>
            <color indexed="81"/>
            <rFont val="Tahoma"/>
            <charset val="1"/>
          </rPr>
          <t>Seiler, Katelyn:</t>
        </r>
        <r>
          <rPr>
            <sz val="9"/>
            <color indexed="81"/>
            <rFont val="Tahoma"/>
            <charset val="1"/>
          </rPr>
          <t xml:space="preserve">
Provided by Mike Fisher</t>
        </r>
      </text>
    </comment>
    <comment ref="BJ12" authorId="0" shapeId="0" xr:uid="{00000000-0006-0000-0400-00002F000000}">
      <text>
        <r>
          <rPr>
            <b/>
            <sz val="9"/>
            <color indexed="81"/>
            <rFont val="Tahoma"/>
            <charset val="1"/>
          </rPr>
          <t>Seiler, Katelyn:</t>
        </r>
        <r>
          <rPr>
            <sz val="9"/>
            <color indexed="81"/>
            <rFont val="Tahoma"/>
            <charset val="1"/>
          </rPr>
          <t xml:space="preserve">
Provided by Mike Fisher</t>
        </r>
      </text>
    </comment>
    <comment ref="BG13" authorId="0" shapeId="0" xr:uid="{00000000-0006-0000-0400-000030000000}">
      <text>
        <r>
          <rPr>
            <b/>
            <sz val="9"/>
            <color indexed="81"/>
            <rFont val="Tahoma"/>
            <charset val="1"/>
          </rPr>
          <t>Seiler, Katelyn:</t>
        </r>
        <r>
          <rPr>
            <sz val="9"/>
            <color indexed="81"/>
            <rFont val="Tahoma"/>
            <charset val="1"/>
          </rPr>
          <t xml:space="preserve">
Provided by Mike Fisher</t>
        </r>
      </text>
    </comment>
    <comment ref="BH13" authorId="0" shapeId="0" xr:uid="{00000000-0006-0000-0400-000031000000}">
      <text>
        <r>
          <rPr>
            <b/>
            <sz val="9"/>
            <color indexed="81"/>
            <rFont val="Tahoma"/>
            <charset val="1"/>
          </rPr>
          <t>Seiler, Katelyn:</t>
        </r>
        <r>
          <rPr>
            <sz val="9"/>
            <color indexed="81"/>
            <rFont val="Tahoma"/>
            <charset val="1"/>
          </rPr>
          <t xml:space="preserve">
Provided by Mike Fisher</t>
        </r>
      </text>
    </comment>
    <comment ref="BI13" authorId="0" shapeId="0" xr:uid="{00000000-0006-0000-0400-000032000000}">
      <text>
        <r>
          <rPr>
            <b/>
            <sz val="9"/>
            <color indexed="81"/>
            <rFont val="Tahoma"/>
            <charset val="1"/>
          </rPr>
          <t>Seiler, Katelyn:</t>
        </r>
        <r>
          <rPr>
            <sz val="9"/>
            <color indexed="81"/>
            <rFont val="Tahoma"/>
            <charset val="1"/>
          </rPr>
          <t xml:space="preserve">
Provided by Mike Fisher</t>
        </r>
      </text>
    </comment>
    <comment ref="BJ13" authorId="0" shapeId="0" xr:uid="{00000000-0006-0000-0400-000033000000}">
      <text>
        <r>
          <rPr>
            <b/>
            <sz val="9"/>
            <color indexed="81"/>
            <rFont val="Tahoma"/>
            <charset val="1"/>
          </rPr>
          <t>Seiler, Katelyn:</t>
        </r>
        <r>
          <rPr>
            <sz val="9"/>
            <color indexed="81"/>
            <rFont val="Tahoma"/>
            <charset val="1"/>
          </rPr>
          <t xml:space="preserve">
Provided by Mike Fisher</t>
        </r>
      </text>
    </comment>
    <comment ref="S14" authorId="1" shapeId="0" xr:uid="{00000000-0006-0000-0400-000034000000}">
      <text>
        <r>
          <rPr>
            <b/>
            <sz val="10"/>
            <color indexed="81"/>
            <rFont val="Tahoma"/>
            <family val="2"/>
          </rPr>
          <t>heuton:</t>
        </r>
        <r>
          <rPr>
            <sz val="10"/>
            <color indexed="81"/>
            <rFont val="Tahoma"/>
            <family val="2"/>
          </rPr>
          <t xml:space="preserve">
In FY10 these fees were deposited to 0001-595-2700, 2750 and 2755.
</t>
        </r>
      </text>
    </comment>
    <comment ref="AA14" authorId="1" shapeId="0" xr:uid="{00000000-0006-0000-0400-000035000000}">
      <text>
        <r>
          <rPr>
            <b/>
            <sz val="10"/>
            <color indexed="81"/>
            <rFont val="Tahoma"/>
            <family val="2"/>
          </rPr>
          <t>heuton:</t>
        </r>
        <r>
          <rPr>
            <sz val="10"/>
            <color indexed="81"/>
            <rFont val="Tahoma"/>
            <family val="2"/>
          </rPr>
          <t xml:space="preserve">
In FY10 these fees were deposited to 0001-595-2700, 2750 and 2755.
</t>
        </r>
      </text>
    </comment>
    <comment ref="BG14" authorId="0" shapeId="0" xr:uid="{00000000-0006-0000-0400-000036000000}">
      <text>
        <r>
          <rPr>
            <b/>
            <sz val="9"/>
            <color indexed="81"/>
            <rFont val="Tahoma"/>
            <family val="2"/>
          </rPr>
          <t>Seiler, Katelyn:</t>
        </r>
        <r>
          <rPr>
            <sz val="9"/>
            <color indexed="81"/>
            <rFont val="Tahoma"/>
            <family val="2"/>
          </rPr>
          <t xml:space="preserve">
Provided by David Jobes, Assistant Director of Gaming in DCI</t>
        </r>
      </text>
    </comment>
    <comment ref="BH14" authorId="0" shapeId="0" xr:uid="{00000000-0006-0000-0400-000037000000}">
      <text>
        <r>
          <rPr>
            <b/>
            <sz val="9"/>
            <color indexed="81"/>
            <rFont val="Tahoma"/>
            <family val="2"/>
          </rPr>
          <t>Seiler, Katelyn:</t>
        </r>
        <r>
          <rPr>
            <sz val="9"/>
            <color indexed="81"/>
            <rFont val="Tahoma"/>
            <family val="2"/>
          </rPr>
          <t xml:space="preserve">
Provided by David Jobes, Assistant Director of Gaming in DCI</t>
        </r>
      </text>
    </comment>
    <comment ref="BI14" authorId="0" shapeId="0" xr:uid="{00000000-0006-0000-0400-000038000000}">
      <text>
        <r>
          <rPr>
            <b/>
            <sz val="9"/>
            <color indexed="81"/>
            <rFont val="Tahoma"/>
            <family val="2"/>
          </rPr>
          <t>Seiler, Katelyn:</t>
        </r>
        <r>
          <rPr>
            <sz val="9"/>
            <color indexed="81"/>
            <rFont val="Tahoma"/>
            <family val="2"/>
          </rPr>
          <t xml:space="preserve">
Provided by David Jobes, Assistant Director of Gaming in DCI</t>
        </r>
      </text>
    </comment>
    <comment ref="BJ14" authorId="0" shapeId="0" xr:uid="{00000000-0006-0000-0400-000039000000}">
      <text>
        <r>
          <rPr>
            <b/>
            <sz val="9"/>
            <color indexed="81"/>
            <rFont val="Tahoma"/>
            <family val="2"/>
          </rPr>
          <t>Seiler, Katelyn:</t>
        </r>
        <r>
          <rPr>
            <sz val="9"/>
            <color indexed="81"/>
            <rFont val="Tahoma"/>
            <family val="2"/>
          </rPr>
          <t xml:space="preserve">
Provided by David Jobes, Assistant Director of Gaming in DCI</t>
        </r>
      </text>
    </comment>
    <comment ref="S15" authorId="1" shapeId="0" xr:uid="{00000000-0006-0000-0400-00003A000000}">
      <text>
        <r>
          <rPr>
            <b/>
            <sz val="10"/>
            <color indexed="81"/>
            <rFont val="Tahoma"/>
            <family val="2"/>
          </rPr>
          <t>heuton:</t>
        </r>
        <r>
          <rPr>
            <sz val="10"/>
            <color indexed="81"/>
            <rFont val="Tahoma"/>
            <family val="2"/>
          </rPr>
          <t xml:space="preserve">
In FY10 these fees were deposited directly into the State General Fund.</t>
        </r>
      </text>
    </comment>
    <comment ref="AA15" authorId="1" shapeId="0" xr:uid="{00000000-0006-0000-0400-00003B000000}">
      <text>
        <r>
          <rPr>
            <b/>
            <sz val="10"/>
            <color indexed="81"/>
            <rFont val="Tahoma"/>
            <family val="2"/>
          </rPr>
          <t>heuton:</t>
        </r>
        <r>
          <rPr>
            <sz val="10"/>
            <color indexed="81"/>
            <rFont val="Tahoma"/>
            <family val="2"/>
          </rPr>
          <t xml:space="preserve">
In FY10 these fees were deposited directly into the State General Fund.</t>
        </r>
      </text>
    </comment>
    <comment ref="BG15" authorId="0" shapeId="0" xr:uid="{00000000-0006-0000-0400-00003C000000}">
      <text>
        <r>
          <rPr>
            <b/>
            <sz val="9"/>
            <color indexed="81"/>
            <rFont val="Tahoma"/>
            <family val="2"/>
          </rPr>
          <t>Seiler, Katelyn:</t>
        </r>
        <r>
          <rPr>
            <sz val="9"/>
            <color indexed="81"/>
            <rFont val="Tahoma"/>
            <family val="2"/>
          </rPr>
          <t xml:space="preserve">
Provided by David Jobes, Assistant Director of Gaming in DCI</t>
        </r>
      </text>
    </comment>
    <comment ref="BH15" authorId="0" shapeId="0" xr:uid="{00000000-0006-0000-0400-00003D000000}">
      <text>
        <r>
          <rPr>
            <b/>
            <sz val="9"/>
            <color indexed="81"/>
            <rFont val="Tahoma"/>
            <family val="2"/>
          </rPr>
          <t>Seiler, Katelyn:</t>
        </r>
        <r>
          <rPr>
            <sz val="9"/>
            <color indexed="81"/>
            <rFont val="Tahoma"/>
            <family val="2"/>
          </rPr>
          <t xml:space="preserve">
Provided by David Jobes, Assistant Director of Gaming in DCI</t>
        </r>
      </text>
    </comment>
    <comment ref="BI15" authorId="0" shapeId="0" xr:uid="{00000000-0006-0000-0400-00003E000000}">
      <text>
        <r>
          <rPr>
            <b/>
            <sz val="9"/>
            <color indexed="81"/>
            <rFont val="Tahoma"/>
            <family val="2"/>
          </rPr>
          <t>Seiler, Katelyn:</t>
        </r>
        <r>
          <rPr>
            <sz val="9"/>
            <color indexed="81"/>
            <rFont val="Tahoma"/>
            <family val="2"/>
          </rPr>
          <t xml:space="preserve">
Provided by David Jobes, Assistant Director of Gaming in DCI</t>
        </r>
      </text>
    </comment>
    <comment ref="BJ15" authorId="0" shapeId="0" xr:uid="{00000000-0006-0000-0400-00003F000000}">
      <text>
        <r>
          <rPr>
            <b/>
            <sz val="9"/>
            <color indexed="81"/>
            <rFont val="Tahoma"/>
            <family val="2"/>
          </rPr>
          <t>Seiler, Katelyn:</t>
        </r>
        <r>
          <rPr>
            <sz val="9"/>
            <color indexed="81"/>
            <rFont val="Tahoma"/>
            <family val="2"/>
          </rPr>
          <t xml:space="preserve">
Provided by David Jobes, Assistant Director of Gaming in DCI</t>
        </r>
      </text>
    </comment>
    <comment ref="BG16" authorId="0" shapeId="0" xr:uid="{00000000-0006-0000-0400-000040000000}">
      <text>
        <r>
          <rPr>
            <b/>
            <sz val="9"/>
            <color indexed="81"/>
            <rFont val="Tahoma"/>
            <charset val="1"/>
          </rPr>
          <t>Seiler, Katelyn:</t>
        </r>
        <r>
          <rPr>
            <sz val="9"/>
            <color indexed="81"/>
            <rFont val="Tahoma"/>
            <charset val="1"/>
          </rPr>
          <t xml:space="preserve">
Provided by Mike Fisher</t>
        </r>
      </text>
    </comment>
    <comment ref="BH16" authorId="0" shapeId="0" xr:uid="{00000000-0006-0000-0400-000041000000}">
      <text>
        <r>
          <rPr>
            <b/>
            <sz val="9"/>
            <color indexed="81"/>
            <rFont val="Tahoma"/>
            <charset val="1"/>
          </rPr>
          <t>Seiler, Katelyn:</t>
        </r>
        <r>
          <rPr>
            <sz val="9"/>
            <color indexed="81"/>
            <rFont val="Tahoma"/>
            <charset val="1"/>
          </rPr>
          <t xml:space="preserve">
Provided by Mike Fisher</t>
        </r>
      </text>
    </comment>
    <comment ref="BI16" authorId="0" shapeId="0" xr:uid="{00000000-0006-0000-0400-000042000000}">
      <text>
        <r>
          <rPr>
            <b/>
            <sz val="9"/>
            <color indexed="81"/>
            <rFont val="Tahoma"/>
            <charset val="1"/>
          </rPr>
          <t>Seiler, Katelyn:</t>
        </r>
        <r>
          <rPr>
            <sz val="9"/>
            <color indexed="81"/>
            <rFont val="Tahoma"/>
            <charset val="1"/>
          </rPr>
          <t xml:space="preserve">
Provided by Mike Fisher</t>
        </r>
      </text>
    </comment>
    <comment ref="BJ16" authorId="0" shapeId="0" xr:uid="{00000000-0006-0000-0400-000043000000}">
      <text>
        <r>
          <rPr>
            <b/>
            <sz val="9"/>
            <color indexed="81"/>
            <rFont val="Tahoma"/>
            <charset val="1"/>
          </rPr>
          <t>Seiler, Katelyn:</t>
        </r>
        <r>
          <rPr>
            <sz val="9"/>
            <color indexed="81"/>
            <rFont val="Tahoma"/>
            <charset val="1"/>
          </rPr>
          <t xml:space="preserve">
</t>
        </r>
      </text>
    </comment>
    <comment ref="C76" authorId="0" shapeId="0" xr:uid="{00000000-0006-0000-0400-000044000000}">
      <text>
        <r>
          <rPr>
            <b/>
            <sz val="9"/>
            <color indexed="81"/>
            <rFont val="Tahoma"/>
            <charset val="1"/>
          </rPr>
          <t>Seiler, Katelyn:</t>
        </r>
        <r>
          <rPr>
            <sz val="9"/>
            <color indexed="81"/>
            <rFont val="Tahoma"/>
            <charset val="1"/>
          </rPr>
          <t xml:space="preserve">
Received data from Cindi Hayes and Brian Young</t>
        </r>
      </text>
    </comment>
    <comment ref="BG76" authorId="0" shapeId="0" xr:uid="{00000000-0006-0000-0400-000045000000}">
      <text>
        <r>
          <rPr>
            <b/>
            <sz val="9"/>
            <color indexed="81"/>
            <rFont val="Tahoma"/>
            <charset val="1"/>
          </rPr>
          <t>Seiler, Katelyn:</t>
        </r>
        <r>
          <rPr>
            <sz val="9"/>
            <color indexed="81"/>
            <rFont val="Tahoma"/>
            <charset val="1"/>
          </rPr>
          <t xml:space="preserve">
Received data from Cindi Hayes and Brian Young</t>
        </r>
      </text>
    </comment>
    <comment ref="BH76" authorId="0" shapeId="0" xr:uid="{00000000-0006-0000-0400-000046000000}">
      <text>
        <r>
          <rPr>
            <b/>
            <sz val="9"/>
            <color indexed="81"/>
            <rFont val="Tahoma"/>
            <charset val="1"/>
          </rPr>
          <t>Seiler, Katelyn:</t>
        </r>
        <r>
          <rPr>
            <sz val="9"/>
            <color indexed="81"/>
            <rFont val="Tahoma"/>
            <charset val="1"/>
          </rPr>
          <t xml:space="preserve">
Received data from Cindi Hayes and Brian Young</t>
        </r>
      </text>
    </comment>
    <comment ref="BI76" authorId="0" shapeId="0" xr:uid="{00000000-0006-0000-0400-000047000000}">
      <text>
        <r>
          <rPr>
            <b/>
            <sz val="9"/>
            <color indexed="81"/>
            <rFont val="Tahoma"/>
            <charset val="1"/>
          </rPr>
          <t>Seiler, Katelyn:</t>
        </r>
        <r>
          <rPr>
            <sz val="9"/>
            <color indexed="81"/>
            <rFont val="Tahoma"/>
            <charset val="1"/>
          </rPr>
          <t xml:space="preserve">
Received data from Cindi Hayes and Brian Young</t>
        </r>
      </text>
    </comment>
    <comment ref="BJ76" authorId="0" shapeId="0" xr:uid="{00000000-0006-0000-0400-000048000000}">
      <text>
        <r>
          <rPr>
            <b/>
            <sz val="9"/>
            <color indexed="81"/>
            <rFont val="Tahoma"/>
            <charset val="1"/>
          </rPr>
          <t>Seiler, Katelyn:</t>
        </r>
        <r>
          <rPr>
            <sz val="9"/>
            <color indexed="81"/>
            <rFont val="Tahoma"/>
            <charset val="1"/>
          </rPr>
          <t xml:space="preserve">
Received data from Cindi Hayes and Brian Young</t>
        </r>
      </text>
    </comment>
    <comment ref="C77" authorId="0" shapeId="0" xr:uid="{00000000-0006-0000-0400-000049000000}">
      <text>
        <r>
          <rPr>
            <b/>
            <sz val="9"/>
            <color indexed="81"/>
            <rFont val="Tahoma"/>
            <charset val="1"/>
          </rPr>
          <t>Seiler, Katelyn:</t>
        </r>
        <r>
          <rPr>
            <sz val="9"/>
            <color indexed="81"/>
            <rFont val="Tahoma"/>
            <charset val="1"/>
          </rPr>
          <t xml:space="preserve">
Received data from Cindi Hayes and Brian Young</t>
        </r>
      </text>
    </comment>
    <comment ref="BG77" authorId="0" shapeId="0" xr:uid="{00000000-0006-0000-0400-00004A000000}">
      <text>
        <r>
          <rPr>
            <b/>
            <sz val="9"/>
            <color indexed="81"/>
            <rFont val="Tahoma"/>
            <charset val="1"/>
          </rPr>
          <t>Seiler, Katelyn:</t>
        </r>
        <r>
          <rPr>
            <sz val="9"/>
            <color indexed="81"/>
            <rFont val="Tahoma"/>
            <charset val="1"/>
          </rPr>
          <t xml:space="preserve">
Received data from Cindi Hayes and Brian Young</t>
        </r>
      </text>
    </comment>
    <comment ref="BH77" authorId="0" shapeId="0" xr:uid="{00000000-0006-0000-0400-00004B000000}">
      <text>
        <r>
          <rPr>
            <b/>
            <sz val="9"/>
            <color indexed="81"/>
            <rFont val="Tahoma"/>
            <charset val="1"/>
          </rPr>
          <t>Seiler, Katelyn:</t>
        </r>
        <r>
          <rPr>
            <sz val="9"/>
            <color indexed="81"/>
            <rFont val="Tahoma"/>
            <charset val="1"/>
          </rPr>
          <t xml:space="preserve">
Received data from Cindi Hayes and Brian Young</t>
        </r>
      </text>
    </comment>
    <comment ref="BI77" authorId="0" shapeId="0" xr:uid="{00000000-0006-0000-0400-00004C000000}">
      <text>
        <r>
          <rPr>
            <b/>
            <sz val="9"/>
            <color indexed="81"/>
            <rFont val="Tahoma"/>
            <charset val="1"/>
          </rPr>
          <t>Seiler, Katelyn:</t>
        </r>
        <r>
          <rPr>
            <sz val="9"/>
            <color indexed="81"/>
            <rFont val="Tahoma"/>
            <charset val="1"/>
          </rPr>
          <t xml:space="preserve">
Received data from Cindi Hayes and Brian Young</t>
        </r>
      </text>
    </comment>
    <comment ref="BJ77" authorId="0" shapeId="0" xr:uid="{00000000-0006-0000-0400-00004D000000}">
      <text>
        <r>
          <rPr>
            <b/>
            <sz val="9"/>
            <color indexed="81"/>
            <rFont val="Tahoma"/>
            <charset val="1"/>
          </rPr>
          <t>Seiler, Katelyn:</t>
        </r>
        <r>
          <rPr>
            <sz val="9"/>
            <color indexed="81"/>
            <rFont val="Tahoma"/>
            <charset val="1"/>
          </rPr>
          <t xml:space="preserve">
Received data from Cindi Hayes and Brian Young</t>
        </r>
      </text>
    </comment>
    <comment ref="C78" authorId="0" shapeId="0" xr:uid="{00000000-0006-0000-0400-00004E000000}">
      <text>
        <r>
          <rPr>
            <b/>
            <sz val="9"/>
            <color indexed="81"/>
            <rFont val="Tahoma"/>
            <charset val="1"/>
          </rPr>
          <t>Seiler, Katelyn:</t>
        </r>
        <r>
          <rPr>
            <sz val="9"/>
            <color indexed="81"/>
            <rFont val="Tahoma"/>
            <charset val="1"/>
          </rPr>
          <t xml:space="preserve">
Received data from Cindi Hayes and Brian Young</t>
        </r>
      </text>
    </comment>
    <comment ref="BG78" authorId="0" shapeId="0" xr:uid="{00000000-0006-0000-0400-00004F000000}">
      <text>
        <r>
          <rPr>
            <b/>
            <sz val="9"/>
            <color indexed="81"/>
            <rFont val="Tahoma"/>
            <charset val="1"/>
          </rPr>
          <t>Seiler, Katelyn:</t>
        </r>
        <r>
          <rPr>
            <sz val="9"/>
            <color indexed="81"/>
            <rFont val="Tahoma"/>
            <charset val="1"/>
          </rPr>
          <t xml:space="preserve">
Received data from Cindi Hayes and Brian Young</t>
        </r>
      </text>
    </comment>
    <comment ref="BH78" authorId="0" shapeId="0" xr:uid="{00000000-0006-0000-0400-000050000000}">
      <text>
        <r>
          <rPr>
            <b/>
            <sz val="9"/>
            <color indexed="81"/>
            <rFont val="Tahoma"/>
            <charset val="1"/>
          </rPr>
          <t>Seiler, Katelyn:</t>
        </r>
        <r>
          <rPr>
            <sz val="9"/>
            <color indexed="81"/>
            <rFont val="Tahoma"/>
            <charset val="1"/>
          </rPr>
          <t xml:space="preserve">
Received data from Cindi Hayes and Brian Young</t>
        </r>
      </text>
    </comment>
    <comment ref="BI78" authorId="0" shapeId="0" xr:uid="{00000000-0006-0000-0400-000051000000}">
      <text>
        <r>
          <rPr>
            <b/>
            <sz val="9"/>
            <color indexed="81"/>
            <rFont val="Tahoma"/>
            <charset val="1"/>
          </rPr>
          <t>Seiler, Katelyn:</t>
        </r>
        <r>
          <rPr>
            <sz val="9"/>
            <color indexed="81"/>
            <rFont val="Tahoma"/>
            <charset val="1"/>
          </rPr>
          <t xml:space="preserve">
Received data from Cindi Hayes and Brian Young</t>
        </r>
      </text>
    </comment>
    <comment ref="BJ78" authorId="0" shapeId="0" xr:uid="{00000000-0006-0000-0400-000052000000}">
      <text>
        <r>
          <rPr>
            <b/>
            <sz val="9"/>
            <color indexed="81"/>
            <rFont val="Tahoma"/>
            <charset val="1"/>
          </rPr>
          <t>Seiler, Katelyn:</t>
        </r>
        <r>
          <rPr>
            <sz val="9"/>
            <color indexed="81"/>
            <rFont val="Tahoma"/>
            <charset val="1"/>
          </rPr>
          <t xml:space="preserve">
Received data from Cindi Hayes and Brian Young</t>
        </r>
      </text>
    </comment>
    <comment ref="C79" authorId="0" shapeId="0" xr:uid="{00000000-0006-0000-0400-000053000000}">
      <text>
        <r>
          <rPr>
            <b/>
            <sz val="9"/>
            <color indexed="81"/>
            <rFont val="Tahoma"/>
            <charset val="1"/>
          </rPr>
          <t>Seiler, Katelyn:</t>
        </r>
        <r>
          <rPr>
            <sz val="9"/>
            <color indexed="81"/>
            <rFont val="Tahoma"/>
            <charset val="1"/>
          </rPr>
          <t xml:space="preserve">
Received data from Cindi Hayes and Brian Young</t>
        </r>
      </text>
    </comment>
    <comment ref="BG79" authorId="0" shapeId="0" xr:uid="{00000000-0006-0000-0400-000054000000}">
      <text>
        <r>
          <rPr>
            <b/>
            <sz val="9"/>
            <color indexed="81"/>
            <rFont val="Tahoma"/>
            <charset val="1"/>
          </rPr>
          <t>Seiler, Katelyn:</t>
        </r>
        <r>
          <rPr>
            <sz val="9"/>
            <color indexed="81"/>
            <rFont val="Tahoma"/>
            <charset val="1"/>
          </rPr>
          <t xml:space="preserve">
Received data from Cindi Hayes and Brian Young</t>
        </r>
      </text>
    </comment>
    <comment ref="BH79" authorId="0" shapeId="0" xr:uid="{00000000-0006-0000-0400-000055000000}">
      <text>
        <r>
          <rPr>
            <b/>
            <sz val="9"/>
            <color indexed="81"/>
            <rFont val="Tahoma"/>
            <charset val="1"/>
          </rPr>
          <t>Seiler, Katelyn:</t>
        </r>
        <r>
          <rPr>
            <sz val="9"/>
            <color indexed="81"/>
            <rFont val="Tahoma"/>
            <charset val="1"/>
          </rPr>
          <t xml:space="preserve">
Received data from Cindi Hayes and Brian Young</t>
        </r>
      </text>
    </comment>
    <comment ref="BI79" authorId="0" shapeId="0" xr:uid="{00000000-0006-0000-0400-000056000000}">
      <text>
        <r>
          <rPr>
            <b/>
            <sz val="9"/>
            <color indexed="81"/>
            <rFont val="Tahoma"/>
            <charset val="1"/>
          </rPr>
          <t>Seiler, Katelyn:</t>
        </r>
        <r>
          <rPr>
            <sz val="9"/>
            <color indexed="81"/>
            <rFont val="Tahoma"/>
            <charset val="1"/>
          </rPr>
          <t xml:space="preserve">
Received data from Cindi Hayes and Brian Young</t>
        </r>
      </text>
    </comment>
    <comment ref="BJ79" authorId="0" shapeId="0" xr:uid="{00000000-0006-0000-0400-000057000000}">
      <text>
        <r>
          <rPr>
            <b/>
            <sz val="9"/>
            <color indexed="81"/>
            <rFont val="Tahoma"/>
            <family val="2"/>
          </rPr>
          <t>Seiler, Katelyn:</t>
        </r>
        <r>
          <rPr>
            <sz val="9"/>
            <color indexed="81"/>
            <rFont val="Tahoma"/>
            <family val="2"/>
          </rPr>
          <t xml:space="preserve">
Received data from Cindi Hayes and Brian Young</t>
        </r>
      </text>
    </comment>
    <comment ref="C80" authorId="0" shapeId="0" xr:uid="{00000000-0006-0000-0400-000058000000}">
      <text>
        <r>
          <rPr>
            <b/>
            <sz val="9"/>
            <color indexed="81"/>
            <rFont val="Tahoma"/>
            <charset val="1"/>
          </rPr>
          <t>Seiler, Katelyn:</t>
        </r>
        <r>
          <rPr>
            <sz val="9"/>
            <color indexed="81"/>
            <rFont val="Tahoma"/>
            <charset val="1"/>
          </rPr>
          <t xml:space="preserve">
Received data from Cindi Hayes and Brian Young</t>
        </r>
      </text>
    </comment>
    <comment ref="BG80" authorId="0" shapeId="0" xr:uid="{00000000-0006-0000-0400-000059000000}">
      <text>
        <r>
          <rPr>
            <b/>
            <sz val="9"/>
            <color indexed="81"/>
            <rFont val="Tahoma"/>
            <charset val="1"/>
          </rPr>
          <t>Seiler, Katelyn:</t>
        </r>
        <r>
          <rPr>
            <sz val="9"/>
            <color indexed="81"/>
            <rFont val="Tahoma"/>
            <charset val="1"/>
          </rPr>
          <t xml:space="preserve">
Received data from Cindi Hayes and Brian Young</t>
        </r>
      </text>
    </comment>
    <comment ref="BH80" authorId="0" shapeId="0" xr:uid="{00000000-0006-0000-0400-00005A000000}">
      <text>
        <r>
          <rPr>
            <b/>
            <sz val="9"/>
            <color indexed="81"/>
            <rFont val="Tahoma"/>
            <charset val="1"/>
          </rPr>
          <t>Seiler, Katelyn:</t>
        </r>
        <r>
          <rPr>
            <sz val="9"/>
            <color indexed="81"/>
            <rFont val="Tahoma"/>
            <charset val="1"/>
          </rPr>
          <t xml:space="preserve">
Received data from Cindi Hayes and Brian Young</t>
        </r>
      </text>
    </comment>
    <comment ref="BI80" authorId="0" shapeId="0" xr:uid="{00000000-0006-0000-0400-00005B000000}">
      <text>
        <r>
          <rPr>
            <b/>
            <sz val="9"/>
            <color indexed="81"/>
            <rFont val="Tahoma"/>
            <charset val="1"/>
          </rPr>
          <t>Seiler, Katelyn:</t>
        </r>
        <r>
          <rPr>
            <sz val="9"/>
            <color indexed="81"/>
            <rFont val="Tahoma"/>
            <charset val="1"/>
          </rPr>
          <t xml:space="preserve">
Received data from Cindi Hayes and Brian Young</t>
        </r>
      </text>
    </comment>
    <comment ref="BJ80" authorId="0" shapeId="0" xr:uid="{00000000-0006-0000-0400-00005C000000}">
      <text>
        <r>
          <rPr>
            <b/>
            <sz val="9"/>
            <color indexed="81"/>
            <rFont val="Tahoma"/>
            <family val="2"/>
          </rPr>
          <t>Seiler, Katelyn:</t>
        </r>
        <r>
          <rPr>
            <sz val="9"/>
            <color indexed="81"/>
            <rFont val="Tahoma"/>
            <family val="2"/>
          </rPr>
          <t xml:space="preserve">
Received data from Cindi Hayes and Brian Young</t>
        </r>
      </text>
    </comment>
    <comment ref="C81" authorId="0" shapeId="0" xr:uid="{00000000-0006-0000-0400-00005D000000}">
      <text>
        <r>
          <rPr>
            <b/>
            <sz val="9"/>
            <color indexed="81"/>
            <rFont val="Tahoma"/>
            <charset val="1"/>
          </rPr>
          <t>Seiler, Katelyn:</t>
        </r>
        <r>
          <rPr>
            <sz val="9"/>
            <color indexed="81"/>
            <rFont val="Tahoma"/>
            <charset val="1"/>
          </rPr>
          <t xml:space="preserve">
Received data from Cindi Hayes and Brian Young</t>
        </r>
      </text>
    </comment>
    <comment ref="BG81" authorId="0" shapeId="0" xr:uid="{00000000-0006-0000-0400-00005E000000}">
      <text>
        <r>
          <rPr>
            <b/>
            <sz val="9"/>
            <color indexed="81"/>
            <rFont val="Tahoma"/>
            <charset val="1"/>
          </rPr>
          <t>Seiler, Katelyn:</t>
        </r>
        <r>
          <rPr>
            <sz val="9"/>
            <color indexed="81"/>
            <rFont val="Tahoma"/>
            <charset val="1"/>
          </rPr>
          <t xml:space="preserve">
Received data from Cindi Hayes and Brian Young</t>
        </r>
      </text>
    </comment>
    <comment ref="BH81" authorId="0" shapeId="0" xr:uid="{00000000-0006-0000-0400-00005F000000}">
      <text>
        <r>
          <rPr>
            <b/>
            <sz val="9"/>
            <color indexed="81"/>
            <rFont val="Tahoma"/>
            <charset val="1"/>
          </rPr>
          <t>Seiler, Katelyn:</t>
        </r>
        <r>
          <rPr>
            <sz val="9"/>
            <color indexed="81"/>
            <rFont val="Tahoma"/>
            <charset val="1"/>
          </rPr>
          <t xml:space="preserve">
Received data from Cindi Hayes and Brian Young</t>
        </r>
      </text>
    </comment>
    <comment ref="BI81" authorId="0" shapeId="0" xr:uid="{00000000-0006-0000-0400-000060000000}">
      <text>
        <r>
          <rPr>
            <b/>
            <sz val="9"/>
            <color indexed="81"/>
            <rFont val="Tahoma"/>
            <charset val="1"/>
          </rPr>
          <t>Seiler, Katelyn:</t>
        </r>
        <r>
          <rPr>
            <sz val="9"/>
            <color indexed="81"/>
            <rFont val="Tahoma"/>
            <charset val="1"/>
          </rPr>
          <t xml:space="preserve">
Received data from Cindi Hayes and Brian Young</t>
        </r>
      </text>
    </comment>
    <comment ref="BJ81" authorId="0" shapeId="0" xr:uid="{00000000-0006-0000-0400-000061000000}">
      <text>
        <r>
          <rPr>
            <b/>
            <sz val="9"/>
            <color indexed="81"/>
            <rFont val="Tahoma"/>
            <family val="2"/>
          </rPr>
          <t>Seiler, Katelyn:</t>
        </r>
        <r>
          <rPr>
            <sz val="9"/>
            <color indexed="81"/>
            <rFont val="Tahoma"/>
            <family val="2"/>
          </rPr>
          <t xml:space="preserve">
Received data from Cindi Hayes and Brian Young</t>
        </r>
      </text>
    </comment>
    <comment ref="C82" authorId="0" shapeId="0" xr:uid="{00000000-0006-0000-0400-000062000000}">
      <text>
        <r>
          <rPr>
            <b/>
            <sz val="9"/>
            <color indexed="81"/>
            <rFont val="Tahoma"/>
            <charset val="1"/>
          </rPr>
          <t>Seiler, Katelyn:</t>
        </r>
        <r>
          <rPr>
            <sz val="9"/>
            <color indexed="81"/>
            <rFont val="Tahoma"/>
            <charset val="1"/>
          </rPr>
          <t xml:space="preserve">
Received data from Cindi Hayes and Brian Young</t>
        </r>
      </text>
    </comment>
    <comment ref="BG82" authorId="0" shapeId="0" xr:uid="{00000000-0006-0000-0400-000063000000}">
      <text>
        <r>
          <rPr>
            <b/>
            <sz val="9"/>
            <color indexed="81"/>
            <rFont val="Tahoma"/>
            <charset val="1"/>
          </rPr>
          <t>Seiler, Katelyn:</t>
        </r>
        <r>
          <rPr>
            <sz val="9"/>
            <color indexed="81"/>
            <rFont val="Tahoma"/>
            <charset val="1"/>
          </rPr>
          <t xml:space="preserve">
Received data from Cindi Hayes and Brian Young</t>
        </r>
      </text>
    </comment>
    <comment ref="BH82" authorId="0" shapeId="0" xr:uid="{00000000-0006-0000-0400-000064000000}">
      <text>
        <r>
          <rPr>
            <b/>
            <sz val="9"/>
            <color indexed="81"/>
            <rFont val="Tahoma"/>
            <charset val="1"/>
          </rPr>
          <t>Seiler, Katelyn:</t>
        </r>
        <r>
          <rPr>
            <sz val="9"/>
            <color indexed="81"/>
            <rFont val="Tahoma"/>
            <charset val="1"/>
          </rPr>
          <t xml:space="preserve">
Received data from Cindi Hayes and Brian Young</t>
        </r>
      </text>
    </comment>
    <comment ref="BI82" authorId="0" shapeId="0" xr:uid="{00000000-0006-0000-0400-000065000000}">
      <text>
        <r>
          <rPr>
            <b/>
            <sz val="9"/>
            <color indexed="81"/>
            <rFont val="Tahoma"/>
            <charset val="1"/>
          </rPr>
          <t>Seiler, Katelyn:</t>
        </r>
        <r>
          <rPr>
            <sz val="9"/>
            <color indexed="81"/>
            <rFont val="Tahoma"/>
            <charset val="1"/>
          </rPr>
          <t xml:space="preserve">
Received data from Cindi Hayes and Brian Young</t>
        </r>
      </text>
    </comment>
    <comment ref="BJ82" authorId="0" shapeId="0" xr:uid="{00000000-0006-0000-0400-000066000000}">
      <text>
        <r>
          <rPr>
            <b/>
            <sz val="9"/>
            <color indexed="81"/>
            <rFont val="Tahoma"/>
            <family val="2"/>
          </rPr>
          <t>Seiler, Katelyn:</t>
        </r>
        <r>
          <rPr>
            <sz val="9"/>
            <color indexed="81"/>
            <rFont val="Tahoma"/>
            <family val="2"/>
          </rPr>
          <t xml:space="preserve">
Received data from Cindi Hayes and Brian Young</t>
        </r>
      </text>
    </comment>
    <comment ref="C83" authorId="0" shapeId="0" xr:uid="{00000000-0006-0000-0400-000067000000}">
      <text>
        <r>
          <rPr>
            <b/>
            <sz val="9"/>
            <color indexed="81"/>
            <rFont val="Tahoma"/>
            <charset val="1"/>
          </rPr>
          <t>Seiler, Katelyn:</t>
        </r>
        <r>
          <rPr>
            <sz val="9"/>
            <color indexed="81"/>
            <rFont val="Tahoma"/>
            <charset val="1"/>
          </rPr>
          <t xml:space="preserve">
Received data from Cindi Hayes and Brian Young</t>
        </r>
      </text>
    </comment>
    <comment ref="BG83" authorId="0" shapeId="0" xr:uid="{00000000-0006-0000-0400-000068000000}">
      <text>
        <r>
          <rPr>
            <b/>
            <sz val="9"/>
            <color indexed="81"/>
            <rFont val="Tahoma"/>
            <charset val="1"/>
          </rPr>
          <t>Seiler, Katelyn:</t>
        </r>
        <r>
          <rPr>
            <sz val="9"/>
            <color indexed="81"/>
            <rFont val="Tahoma"/>
            <charset val="1"/>
          </rPr>
          <t xml:space="preserve">
Received data from Cindi Hayes and Brian Young</t>
        </r>
      </text>
    </comment>
    <comment ref="BH83" authorId="0" shapeId="0" xr:uid="{00000000-0006-0000-0400-000069000000}">
      <text>
        <r>
          <rPr>
            <b/>
            <sz val="9"/>
            <color indexed="81"/>
            <rFont val="Tahoma"/>
            <charset val="1"/>
          </rPr>
          <t>Seiler, Katelyn:</t>
        </r>
        <r>
          <rPr>
            <sz val="9"/>
            <color indexed="81"/>
            <rFont val="Tahoma"/>
            <charset val="1"/>
          </rPr>
          <t xml:space="preserve">
Received data from Cindi Hayes and Brian Young</t>
        </r>
      </text>
    </comment>
    <comment ref="BI83" authorId="0" shapeId="0" xr:uid="{00000000-0006-0000-0400-00006A000000}">
      <text>
        <r>
          <rPr>
            <b/>
            <sz val="9"/>
            <color indexed="81"/>
            <rFont val="Tahoma"/>
            <charset val="1"/>
          </rPr>
          <t>Seiler, Katelyn:</t>
        </r>
        <r>
          <rPr>
            <sz val="9"/>
            <color indexed="81"/>
            <rFont val="Tahoma"/>
            <charset val="1"/>
          </rPr>
          <t xml:space="preserve">
Received data from Cindi Hayes and Brian Young</t>
        </r>
      </text>
    </comment>
    <comment ref="BJ83" authorId="0" shapeId="0" xr:uid="{00000000-0006-0000-0400-00006B000000}">
      <text>
        <r>
          <rPr>
            <b/>
            <sz val="9"/>
            <color indexed="81"/>
            <rFont val="Tahoma"/>
            <family val="2"/>
          </rPr>
          <t>Seiler, Katelyn:</t>
        </r>
        <r>
          <rPr>
            <sz val="9"/>
            <color indexed="81"/>
            <rFont val="Tahoma"/>
            <family val="2"/>
          </rPr>
          <t xml:space="preserve">
Received data from Cindi Hayes and Brian Young</t>
        </r>
      </text>
    </comment>
    <comment ref="C84" authorId="0" shapeId="0" xr:uid="{00000000-0006-0000-0400-00006C000000}">
      <text>
        <r>
          <rPr>
            <b/>
            <sz val="9"/>
            <color indexed="81"/>
            <rFont val="Tahoma"/>
            <charset val="1"/>
          </rPr>
          <t>Seiler, Katelyn:</t>
        </r>
        <r>
          <rPr>
            <sz val="9"/>
            <color indexed="81"/>
            <rFont val="Tahoma"/>
            <charset val="1"/>
          </rPr>
          <t xml:space="preserve">
Received data from Cindi Hayes and Brian Young</t>
        </r>
      </text>
    </comment>
    <comment ref="BG84" authorId="0" shapeId="0" xr:uid="{00000000-0006-0000-0400-00006D000000}">
      <text>
        <r>
          <rPr>
            <b/>
            <sz val="9"/>
            <color indexed="81"/>
            <rFont val="Tahoma"/>
            <charset val="1"/>
          </rPr>
          <t>Seiler, Katelyn:</t>
        </r>
        <r>
          <rPr>
            <sz val="9"/>
            <color indexed="81"/>
            <rFont val="Tahoma"/>
            <charset val="1"/>
          </rPr>
          <t xml:space="preserve">
Received data from Cindi Hayes and Brian Young</t>
        </r>
      </text>
    </comment>
    <comment ref="BH84" authorId="0" shapeId="0" xr:uid="{00000000-0006-0000-0400-00006E000000}">
      <text>
        <r>
          <rPr>
            <b/>
            <sz val="9"/>
            <color indexed="81"/>
            <rFont val="Tahoma"/>
            <charset val="1"/>
          </rPr>
          <t>Seiler, Katelyn:</t>
        </r>
        <r>
          <rPr>
            <sz val="9"/>
            <color indexed="81"/>
            <rFont val="Tahoma"/>
            <charset val="1"/>
          </rPr>
          <t xml:space="preserve">
Received data from Cindi Hayes and Brian Young</t>
        </r>
      </text>
    </comment>
    <comment ref="BI84" authorId="0" shapeId="0" xr:uid="{00000000-0006-0000-0400-00006F000000}">
      <text>
        <r>
          <rPr>
            <b/>
            <sz val="9"/>
            <color indexed="81"/>
            <rFont val="Tahoma"/>
            <charset val="1"/>
          </rPr>
          <t>Seiler, Katelyn:</t>
        </r>
        <r>
          <rPr>
            <sz val="9"/>
            <color indexed="81"/>
            <rFont val="Tahoma"/>
            <charset val="1"/>
          </rPr>
          <t xml:space="preserve">
Received data from Cindi Hayes and Brian Young</t>
        </r>
      </text>
    </comment>
    <comment ref="BJ84" authorId="0" shapeId="0" xr:uid="{00000000-0006-0000-0400-000070000000}">
      <text>
        <r>
          <rPr>
            <b/>
            <sz val="9"/>
            <color indexed="81"/>
            <rFont val="Tahoma"/>
            <family val="2"/>
          </rPr>
          <t>Seiler, Katelyn:</t>
        </r>
        <r>
          <rPr>
            <sz val="9"/>
            <color indexed="81"/>
            <rFont val="Tahoma"/>
            <family val="2"/>
          </rPr>
          <t xml:space="preserve">
Received data from Cindi Hayes and Brian Young</t>
        </r>
      </text>
    </comment>
    <comment ref="C85" authorId="0" shapeId="0" xr:uid="{00000000-0006-0000-0400-000071000000}">
      <text>
        <r>
          <rPr>
            <b/>
            <sz val="9"/>
            <color indexed="81"/>
            <rFont val="Tahoma"/>
            <charset val="1"/>
          </rPr>
          <t>Seiler, Katelyn:</t>
        </r>
        <r>
          <rPr>
            <sz val="9"/>
            <color indexed="81"/>
            <rFont val="Tahoma"/>
            <charset val="1"/>
          </rPr>
          <t xml:space="preserve">
Received data from Cindi Hayes and Brian Young</t>
        </r>
      </text>
    </comment>
    <comment ref="BG85" authorId="0" shapeId="0" xr:uid="{00000000-0006-0000-0400-000072000000}">
      <text>
        <r>
          <rPr>
            <b/>
            <sz val="9"/>
            <color indexed="81"/>
            <rFont val="Tahoma"/>
            <charset val="1"/>
          </rPr>
          <t>Seiler, Katelyn:</t>
        </r>
        <r>
          <rPr>
            <sz val="9"/>
            <color indexed="81"/>
            <rFont val="Tahoma"/>
            <charset val="1"/>
          </rPr>
          <t xml:space="preserve">
Received data from Cindi Hayes and Brian Young</t>
        </r>
      </text>
    </comment>
    <comment ref="BH85" authorId="0" shapeId="0" xr:uid="{00000000-0006-0000-0400-000073000000}">
      <text>
        <r>
          <rPr>
            <b/>
            <sz val="9"/>
            <color indexed="81"/>
            <rFont val="Tahoma"/>
            <charset val="1"/>
          </rPr>
          <t>Seiler, Katelyn:</t>
        </r>
        <r>
          <rPr>
            <sz val="9"/>
            <color indexed="81"/>
            <rFont val="Tahoma"/>
            <charset val="1"/>
          </rPr>
          <t xml:space="preserve">
</t>
        </r>
      </text>
    </comment>
    <comment ref="BI85" authorId="0" shapeId="0" xr:uid="{00000000-0006-0000-0400-000074000000}">
      <text>
        <r>
          <rPr>
            <b/>
            <sz val="9"/>
            <color indexed="81"/>
            <rFont val="Tahoma"/>
            <charset val="1"/>
          </rPr>
          <t>Seiler, Katelyn:</t>
        </r>
        <r>
          <rPr>
            <sz val="9"/>
            <color indexed="81"/>
            <rFont val="Tahoma"/>
            <charset val="1"/>
          </rPr>
          <t xml:space="preserve">
</t>
        </r>
      </text>
    </comment>
    <comment ref="BJ85" authorId="0" shapeId="0" xr:uid="{00000000-0006-0000-0400-000075000000}">
      <text>
        <r>
          <rPr>
            <b/>
            <sz val="9"/>
            <color indexed="81"/>
            <rFont val="Tahoma"/>
            <family val="2"/>
          </rPr>
          <t>Seiler, Katelyn:</t>
        </r>
        <r>
          <rPr>
            <sz val="9"/>
            <color indexed="81"/>
            <rFont val="Tahoma"/>
            <family val="2"/>
          </rPr>
          <t xml:space="preserve">
Received data from Cindi Hayes and Brian Young</t>
        </r>
      </text>
    </comment>
    <comment ref="C86" authorId="0" shapeId="0" xr:uid="{00000000-0006-0000-0400-000076000000}">
      <text>
        <r>
          <rPr>
            <b/>
            <sz val="9"/>
            <color indexed="81"/>
            <rFont val="Tahoma"/>
            <charset val="1"/>
          </rPr>
          <t>Seiler, Katelyn:</t>
        </r>
        <r>
          <rPr>
            <sz val="9"/>
            <color indexed="81"/>
            <rFont val="Tahoma"/>
            <charset val="1"/>
          </rPr>
          <t xml:space="preserve">
Received data from Cindi Hayes and Brian Young</t>
        </r>
      </text>
    </comment>
    <comment ref="BG86" authorId="0" shapeId="0" xr:uid="{00000000-0006-0000-0400-000077000000}">
      <text>
        <r>
          <rPr>
            <b/>
            <sz val="9"/>
            <color indexed="81"/>
            <rFont val="Tahoma"/>
            <family val="2"/>
          </rPr>
          <t>Seiler, Katelyn:</t>
        </r>
        <r>
          <rPr>
            <sz val="9"/>
            <color indexed="81"/>
            <rFont val="Tahoma"/>
            <family val="2"/>
          </rPr>
          <t xml:space="preserve">
Received data from Cindi Hayes and Brian Young</t>
        </r>
      </text>
    </comment>
    <comment ref="BH86" authorId="0" shapeId="0" xr:uid="{00000000-0006-0000-0400-000078000000}">
      <text>
        <r>
          <rPr>
            <b/>
            <sz val="9"/>
            <color indexed="81"/>
            <rFont val="Tahoma"/>
            <family val="2"/>
          </rPr>
          <t>Seiler, Katelyn:</t>
        </r>
        <r>
          <rPr>
            <sz val="9"/>
            <color indexed="81"/>
            <rFont val="Tahoma"/>
            <family val="2"/>
          </rPr>
          <t xml:space="preserve">
Received data from Cindi Hayes and Brian Young</t>
        </r>
      </text>
    </comment>
    <comment ref="BI86" authorId="0" shapeId="0" xr:uid="{00000000-0006-0000-0400-000079000000}">
      <text>
        <r>
          <rPr>
            <b/>
            <sz val="9"/>
            <color indexed="81"/>
            <rFont val="Tahoma"/>
            <family val="2"/>
          </rPr>
          <t>Seiler, Katelyn:</t>
        </r>
        <r>
          <rPr>
            <sz val="9"/>
            <color indexed="81"/>
            <rFont val="Tahoma"/>
            <family val="2"/>
          </rPr>
          <t xml:space="preserve">
Received data from Cindi Hayes and Brian Young</t>
        </r>
      </text>
    </comment>
    <comment ref="BJ86" authorId="0" shapeId="0" xr:uid="{00000000-0006-0000-0400-00007A000000}">
      <text>
        <r>
          <rPr>
            <b/>
            <sz val="9"/>
            <color indexed="81"/>
            <rFont val="Tahoma"/>
            <family val="2"/>
          </rPr>
          <t>Seiler, Katelyn:</t>
        </r>
        <r>
          <rPr>
            <sz val="9"/>
            <color indexed="81"/>
            <rFont val="Tahoma"/>
            <family val="2"/>
          </rPr>
          <t xml:space="preserve">
Received data from Cindi Hayes and Brian Young</t>
        </r>
      </text>
    </comment>
    <comment ref="C87" authorId="0" shapeId="0" xr:uid="{00000000-0006-0000-0400-00007B000000}">
      <text>
        <r>
          <rPr>
            <b/>
            <sz val="9"/>
            <color indexed="81"/>
            <rFont val="Tahoma"/>
            <charset val="1"/>
          </rPr>
          <t>Seiler, Katelyn:</t>
        </r>
        <r>
          <rPr>
            <sz val="9"/>
            <color indexed="81"/>
            <rFont val="Tahoma"/>
            <charset val="1"/>
          </rPr>
          <t xml:space="preserve">
Received data from Cindi Hayes and Brian Young</t>
        </r>
      </text>
    </comment>
    <comment ref="BG87" authorId="0" shapeId="0" xr:uid="{00000000-0006-0000-0400-00007C000000}">
      <text>
        <r>
          <rPr>
            <b/>
            <sz val="9"/>
            <color indexed="81"/>
            <rFont val="Tahoma"/>
            <family val="2"/>
          </rPr>
          <t>Seiler, Katelyn:</t>
        </r>
        <r>
          <rPr>
            <sz val="9"/>
            <color indexed="81"/>
            <rFont val="Tahoma"/>
            <family val="2"/>
          </rPr>
          <t xml:space="preserve">
Received data from Cindi Hayes and Brian Young</t>
        </r>
      </text>
    </comment>
    <comment ref="BH87" authorId="0" shapeId="0" xr:uid="{00000000-0006-0000-0400-00007D000000}">
      <text>
        <r>
          <rPr>
            <b/>
            <sz val="9"/>
            <color indexed="81"/>
            <rFont val="Tahoma"/>
            <family val="2"/>
          </rPr>
          <t>Seiler, Katelyn:</t>
        </r>
        <r>
          <rPr>
            <sz val="9"/>
            <color indexed="81"/>
            <rFont val="Tahoma"/>
            <family val="2"/>
          </rPr>
          <t xml:space="preserve">
Received data from Cindi Hayes and Brian Young</t>
        </r>
      </text>
    </comment>
    <comment ref="BI87" authorId="0" shapeId="0" xr:uid="{00000000-0006-0000-0400-00007E000000}">
      <text>
        <r>
          <rPr>
            <b/>
            <sz val="9"/>
            <color indexed="81"/>
            <rFont val="Tahoma"/>
            <family val="2"/>
          </rPr>
          <t>Seiler, Katelyn:</t>
        </r>
        <r>
          <rPr>
            <sz val="9"/>
            <color indexed="81"/>
            <rFont val="Tahoma"/>
            <family val="2"/>
          </rPr>
          <t xml:space="preserve">
Received data from Cindi Hayes and Brian Young</t>
        </r>
      </text>
    </comment>
    <comment ref="BJ87" authorId="0" shapeId="0" xr:uid="{00000000-0006-0000-0400-00007F000000}">
      <text>
        <r>
          <rPr>
            <b/>
            <sz val="9"/>
            <color indexed="81"/>
            <rFont val="Tahoma"/>
            <family val="2"/>
          </rPr>
          <t>Seiler, Katelyn:</t>
        </r>
        <r>
          <rPr>
            <sz val="9"/>
            <color indexed="81"/>
            <rFont val="Tahoma"/>
            <family val="2"/>
          </rPr>
          <t xml:space="preserve">
Received data from Cindi Hayes and Brian Young</t>
        </r>
      </text>
    </comment>
  </commentList>
</comments>
</file>

<file path=xl/sharedStrings.xml><?xml version="1.0" encoding="utf-8"?>
<sst xmlns="http://schemas.openxmlformats.org/spreadsheetml/2006/main" count="4358" uniqueCount="922">
  <si>
    <t>Fee Description</t>
  </si>
  <si>
    <t>Payor of Fee</t>
  </si>
  <si>
    <t>Frequency</t>
  </si>
  <si>
    <t>Additional Comments</t>
  </si>
  <si>
    <t>Fee Amount</t>
  </si>
  <si>
    <t>Number of FY 2010 Payors</t>
  </si>
  <si>
    <t>FY 2010 Total Revenue</t>
  </si>
  <si>
    <t>Revenue Deposit Location (Fund)</t>
  </si>
  <si>
    <t>Year Last Revised</t>
  </si>
  <si>
    <t>Department</t>
  </si>
  <si>
    <t>Public Safety</t>
  </si>
  <si>
    <t>Electrician and Installers Licensing and Inspection Fund (0957)</t>
  </si>
  <si>
    <t>3 years</t>
  </si>
  <si>
    <t>Master A</t>
  </si>
  <si>
    <t>Master B</t>
  </si>
  <si>
    <t>Journeyman A</t>
  </si>
  <si>
    <t>Journeyman B</t>
  </si>
  <si>
    <t>Contractor</t>
  </si>
  <si>
    <t>Irrigation Systems</t>
  </si>
  <si>
    <t>Unclassified</t>
  </si>
  <si>
    <t>Annually</t>
  </si>
  <si>
    <t>Apprentice</t>
  </si>
  <si>
    <t>0957</t>
  </si>
  <si>
    <t>Code and/or Admin Rules Cite</t>
  </si>
  <si>
    <t>Expenditures</t>
  </si>
  <si>
    <t>Licensing of electricians began January 1, 2008.</t>
  </si>
  <si>
    <t>Per inspection and re-inspection</t>
  </si>
  <si>
    <t>They include an Inactive Master License, Residential Contractor, Residential Electrician, and Residential Electrician Trainee.</t>
  </si>
  <si>
    <t>The four new fees will be set by Rule.  Legislation effective July 1, 2009 pro-rates fees of licenses since all expire on the same day every three years.</t>
  </si>
  <si>
    <t>100 amps or less is $25; 101 amps to 200 amps is $35; greater than 200 amps is $35 plus $20 for each additional 100 amps or a fraction thereof.  Each new branch circuit or feeder is $5.  Each inspection requested is $25.  To request an inspection not required by law is $30.  To inspect a field irrigation system is $60.</t>
  </si>
  <si>
    <t>Varies - see comments for fees</t>
  </si>
  <si>
    <t>Homeland Security and Emergency Management Division</t>
  </si>
  <si>
    <t>Monthly to providers and remitted quarterly to the State</t>
  </si>
  <si>
    <t>Chapter 34A</t>
  </si>
  <si>
    <t>2007 Legislative Session increased the distribution to PSAPS from 24.0% to 25.0%.  Otherwise, no changes to the formula since 2004.</t>
  </si>
  <si>
    <t>Per Quarter - $50,000 for administration of the Program, wireless service provider cost recovery, wireline transport costs for local carriers, automated information costs for local carriers, Public Safety Answering Point Systems (PSAPS), and carryover funds for upgrades to local PSAPS and for grant matching.</t>
  </si>
  <si>
    <t>Provides funding for emergency communication systems such as mapping and 911 call location using latitude and longitude coordinates including funding for 122 Public Safety Answering Point Systems (PSAPS).</t>
  </si>
  <si>
    <t>Property Owner or person requesting the inspection</t>
  </si>
  <si>
    <t>Wireless 911 Surcharge (0046)</t>
  </si>
  <si>
    <t>Budget Unit or Fund Name and Number</t>
  </si>
  <si>
    <t>Judicial Branch</t>
  </si>
  <si>
    <t>Per Case</t>
  </si>
  <si>
    <t>Fines imposed in accordance with Section 455B.146, 455B.191, 455B.386, 455B.417, 455B.454, 455B.466, and 455B.477.</t>
  </si>
  <si>
    <t>Paid by the Defendant</t>
  </si>
  <si>
    <t>Detail on all fines related to Section 29C.8A maintained by the Department of Natural Resources</t>
  </si>
  <si>
    <t>Section 29C.8A</t>
  </si>
  <si>
    <t>Civil penalty; amount varies per case</t>
  </si>
  <si>
    <t>The first $100,000 of such penalties is deposited into this Fund and then transferred to HSEMD.  The penalty was paid by Matrix Metals and Keokuk Steel Castings.</t>
  </si>
  <si>
    <t>FY 2010 Total Net GF Revenue</t>
  </si>
  <si>
    <t>FY 2010 Total Local or Other Revenue</t>
  </si>
  <si>
    <t xml:space="preserve"> </t>
  </si>
  <si>
    <t>CBC District 1</t>
  </si>
  <si>
    <t>Supervision Fees: Fee charged of all probation or parole offenders on supervision to the district.</t>
  </si>
  <si>
    <t>Offenders</t>
  </si>
  <si>
    <t>Per Supervision</t>
  </si>
  <si>
    <t>Operating Budget</t>
  </si>
  <si>
    <t>905.14.</t>
  </si>
  <si>
    <t>Staff and operating costs for field services' expenditures</t>
  </si>
  <si>
    <t>Appropriations reduced to account for local income</t>
  </si>
  <si>
    <t xml:space="preserve">Sex Offender Fee: Fee charged to sex offenders under supervision to offset the cost of assessment and treatment. </t>
  </si>
  <si>
    <t>Sex Offenders</t>
  </si>
  <si>
    <t>331 (# of transactions)</t>
  </si>
  <si>
    <t>Staff and operating costs for sex offender program expenditures</t>
  </si>
  <si>
    <t>Residential Rent Regular: Rent fees charged to probation or work release offenders residing in a residential facility.</t>
  </si>
  <si>
    <t>per day</t>
  </si>
  <si>
    <t>900 (# of payors)</t>
  </si>
  <si>
    <t>Staff and operating costs for residential expenditures.</t>
  </si>
  <si>
    <t>Residential Rent OWI: Rent fees charged to OWI offenders residing in a residential facility.</t>
  </si>
  <si>
    <t>100 (# of payors)</t>
  </si>
  <si>
    <t>Day Reporting Rent: Fees charged to residential offenders placed on day reporting status</t>
  </si>
  <si>
    <t>Urinalysis Re-testing fee:  When an offender contests a positive "in-house method' UA screen, the specimen is forwarded to the lab.  If the lab result is also positive, the offender is required to reimburse the dept the cost of the lab screening.</t>
  </si>
  <si>
    <t>per lab verification</t>
  </si>
  <si>
    <t>64 (# of transactions)</t>
  </si>
  <si>
    <t>Batterers' Education Program Fees: Charged to offenders who are court-ordered to attend weekly groups for a 12-week period.</t>
  </si>
  <si>
    <t>per group</t>
  </si>
  <si>
    <t>508 payors</t>
  </si>
  <si>
    <t>???</t>
  </si>
  <si>
    <t>Iowa Code 708.2B</t>
  </si>
  <si>
    <t>Staff for the Batterers' Education Program</t>
  </si>
  <si>
    <t>Facility Laundry Fees: fees charged to residential offenders for use of laundry machines and soap to do their laundry</t>
  </si>
  <si>
    <t>weekly</t>
  </si>
  <si>
    <t>1000 payors</t>
  </si>
  <si>
    <t>????</t>
  </si>
  <si>
    <t>28E</t>
  </si>
  <si>
    <t>Operating costs for the residential expenditures</t>
  </si>
  <si>
    <t>CBC District 2</t>
  </si>
  <si>
    <t>Supervision Fee</t>
  </si>
  <si>
    <t>Probation/Parole Clients</t>
  </si>
  <si>
    <t>Per Offender</t>
  </si>
  <si>
    <t>Funds are used to pay for Probation/Parole Officer staff, and District-wide operational expenses, such as staff training, utilities, rent, etc.</t>
  </si>
  <si>
    <t>Residential Rent</t>
  </si>
  <si>
    <t>Residential Center Clients</t>
  </si>
  <si>
    <t>$19/$13</t>
  </si>
  <si>
    <t>Per Client Per Day</t>
  </si>
  <si>
    <t>Funds are used to pay for Residential Center staff and other District positions, and District-wide operational expenses, such as staff training, utilities, rent, food purchases, etc.</t>
  </si>
  <si>
    <t>State Residential Clients pay $19/day @ Ft. Dodge, Marshalltown &amp; Mason City Resi Centers, which includes 3 meals/day; Resi Clients pay $13/day @ Ames - no meal service provided *** State Client Rent ONLY</t>
  </si>
  <si>
    <t>Polygraph Examinations</t>
  </si>
  <si>
    <t>Sex Offender Treatment Program Clients</t>
  </si>
  <si>
    <t>Per (Required) Offender</t>
  </si>
  <si>
    <t>Funds are used to pay for operational support costs for the Sex Offender Treatment Program, including the supply cost for the Polygraph</t>
  </si>
  <si>
    <t>Psychological Sexual Assessments/Evaluations</t>
  </si>
  <si>
    <t>Funds are used to pay for operational support costs for the Sex Offender Treatment Program, including the evaluation cost for the Assessment</t>
  </si>
  <si>
    <t>Local income consists of a $22 intake fee and a $22 weekly group fee - client is required to complete 24 weekly sessions</t>
  </si>
  <si>
    <t>ABEL Test</t>
  </si>
  <si>
    <t>Fee covers cost of test evaluation and processing</t>
  </si>
  <si>
    <t>Sex Offender Treatment Program Fee</t>
  </si>
  <si>
    <t>Funds are used to pay for operational support costs for the Sex Offender Treatment Program</t>
  </si>
  <si>
    <t>Linen Fees</t>
  </si>
  <si>
    <t>Fee covers the cost of purchasing and providing bed linens to all Residential Center clients</t>
  </si>
  <si>
    <t>CBC District 3</t>
  </si>
  <si>
    <t>SOTP</t>
  </si>
  <si>
    <t>Offender</t>
  </si>
  <si>
    <t>one time</t>
  </si>
  <si>
    <t>cost for class supplies and instructor time</t>
  </si>
  <si>
    <t>Offenders are charged actual cost</t>
  </si>
  <si>
    <t>RET Classes</t>
  </si>
  <si>
    <t>$5/$50</t>
  </si>
  <si>
    <t>per class</t>
  </si>
  <si>
    <t>Phone Card</t>
  </si>
  <si>
    <t>cost</t>
  </si>
  <si>
    <t>per purchase</t>
  </si>
  <si>
    <t>cost of phone card purchased</t>
  </si>
  <si>
    <t>Damage Reimbursement</t>
  </si>
  <si>
    <t>per incident</t>
  </si>
  <si>
    <t>cost of damage incurred</t>
  </si>
  <si>
    <t>Linens</t>
  </si>
  <si>
    <t>cost of linens purchased from local charity</t>
  </si>
  <si>
    <t>TB Testing</t>
  </si>
  <si>
    <t>per test</t>
  </si>
  <si>
    <t>cost of tests performed at local health clinics</t>
  </si>
  <si>
    <t>UA Confirmation</t>
  </si>
  <si>
    <t>cost of submitting second test to outside lab for confirmation testing</t>
  </si>
  <si>
    <t>O</t>
  </si>
  <si>
    <t>Pays for all support expenditures which are not covered by appropriations</t>
  </si>
  <si>
    <t>Rent</t>
  </si>
  <si>
    <t>daily</t>
  </si>
  <si>
    <t>Meals</t>
  </si>
  <si>
    <t>CBC District 4</t>
  </si>
  <si>
    <t>Supervision Enrollment Fee</t>
  </si>
  <si>
    <t>Offenders Placed Under our Supervision</t>
  </si>
  <si>
    <t>Section 905.14</t>
  </si>
  <si>
    <t>Funds 1 FTE.</t>
  </si>
  <si>
    <t>Appropriation Reduced to account for Local Revenue generated.</t>
  </si>
  <si>
    <t>Sex Offender Treatment Program</t>
  </si>
  <si>
    <t>Per Psycho-Sexual Evaluation</t>
  </si>
  <si>
    <t>Cost of Test</t>
  </si>
  <si>
    <t>Per weekly session</t>
  </si>
  <si>
    <t>Cost of Service Provider</t>
  </si>
  <si>
    <t>Sex Offender Polygraphs</t>
  </si>
  <si>
    <t>Per Examination</t>
  </si>
  <si>
    <t>Cost of Polygraph</t>
  </si>
  <si>
    <t>OWI Treatment Fees</t>
  </si>
  <si>
    <t>Cost of OWI Treatment with Contractor.</t>
  </si>
  <si>
    <t>Daily rent fee</t>
  </si>
  <si>
    <t>Day</t>
  </si>
  <si>
    <t>Pays for District operations</t>
  </si>
  <si>
    <t>Residential Day Reporting Charge</t>
  </si>
  <si>
    <t>Daily Fee</t>
  </si>
  <si>
    <t>CBC District 5</t>
  </si>
  <si>
    <t>Supervision (Enrollment) Fee</t>
  </si>
  <si>
    <t>per supervision</t>
  </si>
  <si>
    <t>Helps to fund expenditures in field operations, such as professional contracts, UA kits/supplies, utilities, rental expense for satellite offices, maintenance on the buildings, etc.</t>
  </si>
  <si>
    <t># of transactions, not number of payors - per supervision means that the offender is not charged a supervision fee per charge that they are on to us, but instead each break in supervision creates a new supervision and thus a new supervision fee.</t>
  </si>
  <si>
    <t>Helps to fund local expenditures that support residential operations, such as food, utilities, UA kits/supplies, maintenance on the buildings, etc.</t>
  </si>
  <si>
    <t>Capacity is 168 at one time plus day reporters.</t>
  </si>
  <si>
    <t>Residential Rent-Treatment</t>
  </si>
  <si>
    <t>Capacity is 120 at one time</t>
  </si>
  <si>
    <t>Residential Linen Fee</t>
  </si>
  <si>
    <t>flat fee</t>
  </si>
  <si>
    <t>Offsets local expenditures for the cost of the linens</t>
  </si>
  <si>
    <t># of transactions, not number of payors</t>
  </si>
  <si>
    <t>Residential Laundry Fee</t>
  </si>
  <si>
    <t>Offsets local expenditures for the utilities used and maintenance on the washing machines/replacement of machines</t>
  </si>
  <si>
    <t>Physicals</t>
  </si>
  <si>
    <t>one-time</t>
  </si>
  <si>
    <t>Offsets local expenditures for the cost of the physicals</t>
  </si>
  <si>
    <t>Residential Drinking Glass fee</t>
  </si>
  <si>
    <t>Offsets local expenditures for the cost of the drinking glasses</t>
  </si>
  <si>
    <t>Residential Padlock fee</t>
  </si>
  <si>
    <t>Offsets local expenditures for the cost of the padlocks and the locking cabinets that are used in the residential facilities for offender use</t>
  </si>
  <si>
    <t>Urinalysis Confirmation Fee</t>
  </si>
  <si>
    <t>Offsets local expenditures for the cost of the UA confirmation paid to a vendor</t>
  </si>
  <si>
    <t>BEP Group Fees</t>
  </si>
  <si>
    <t>Offsets local expenditures linked to the BEP program (local salaries and materials)</t>
  </si>
  <si>
    <t>BEP Intake</t>
  </si>
  <si>
    <t>Sex Offender Polygraph/Plethysmograph</t>
  </si>
  <si>
    <t>as necessary</t>
  </si>
  <si>
    <t>Offsets local expenditures linked to these services, such as equipment, materials, and locally funded sex offender salaries</t>
  </si>
  <si>
    <t>Sex Offender Group Fee</t>
  </si>
  <si>
    <t>Sex Offender Individual Treatment</t>
  </si>
  <si>
    <t>per occrnc</t>
  </si>
  <si>
    <t>Sex Offender Psychosexual Evaluation</t>
  </si>
  <si>
    <t>Community Service Fee</t>
  </si>
  <si>
    <t>Non-supervised offenders</t>
  </si>
  <si>
    <t>Offsets local expenditures linked to monitoring community service records for non-supervised offenders</t>
  </si>
  <si>
    <t>Returned Check Fee (NSF)</t>
  </si>
  <si>
    <t>Offsets local expenditures linked to the fee charged by the bank for the NSF charge</t>
  </si>
  <si>
    <t>CBC District 6</t>
  </si>
  <si>
    <t>Fee for Probation/Parole supervision</t>
  </si>
  <si>
    <t>per charge</t>
  </si>
  <si>
    <t>Pays for District personnel</t>
  </si>
  <si>
    <t xml:space="preserve">flat fee </t>
  </si>
  <si>
    <t>Pays for daily operations</t>
  </si>
  <si>
    <t>Fee for performing a Substance Abuse Evaluation</t>
  </si>
  <si>
    <t>Fee for submitting UA test for confirmation of + or -</t>
  </si>
  <si>
    <t>Pays for drug test to verify if + or -</t>
  </si>
  <si>
    <t>Daily rent fee for staying in a Residential facility</t>
  </si>
  <si>
    <t>Fee to cover bus passes for resident travel</t>
  </si>
  <si>
    <t>CBC District 7</t>
  </si>
  <si>
    <t>Offsets District operations</t>
  </si>
  <si>
    <t>OWI Residential Rent</t>
  </si>
  <si>
    <t xml:space="preserve">Batterers Education Program </t>
  </si>
  <si>
    <t>per session</t>
  </si>
  <si>
    <t>Offsets Group Facilitators costs</t>
  </si>
  <si>
    <t>CBC District 8</t>
  </si>
  <si>
    <t>Supervision fee - Fee for P/P Supervision</t>
  </si>
  <si>
    <t>Pays for District Operations</t>
  </si>
  <si>
    <t>*Number of Transactions-not offenders</t>
  </si>
  <si>
    <t>Residential Rent Fee - OWI</t>
  </si>
  <si>
    <t>Daily</t>
  </si>
  <si>
    <t>Residential Rent Fee - P/P &amp; SWR</t>
  </si>
  <si>
    <t>Residential Rent Fee- Live Out Status</t>
  </si>
  <si>
    <t>Flat Fee</t>
  </si>
  <si>
    <t>Hair Test Fees-Cost of Test</t>
  </si>
  <si>
    <t>SOP Fees - Pays for Programming</t>
  </si>
  <si>
    <t>Year</t>
  </si>
  <si>
    <t>688*</t>
  </si>
  <si>
    <t>BEP - 16 Week Men's program</t>
  </si>
  <si>
    <t>16 Wk</t>
  </si>
  <si>
    <t>1664*</t>
  </si>
  <si>
    <t>BEP - 24 Week Men's program</t>
  </si>
  <si>
    <t>24 Wk</t>
  </si>
  <si>
    <t>525*</t>
  </si>
  <si>
    <t>BEP-MOP - 16 Week Women's Program</t>
  </si>
  <si>
    <t>255*</t>
  </si>
  <si>
    <t>BEP/MOP/DHS - Women</t>
  </si>
  <si>
    <t>20*</t>
  </si>
  <si>
    <t>Fees for Bus Tokens for Residents</t>
  </si>
  <si>
    <t>Per Token</t>
  </si>
  <si>
    <t>469*</t>
  </si>
  <si>
    <t>Linen Fees For Residents</t>
  </si>
  <si>
    <t>Intake</t>
  </si>
  <si>
    <t>408*</t>
  </si>
  <si>
    <t>Central Office</t>
  </si>
  <si>
    <t>Interstate Compact  0460</t>
  </si>
  <si>
    <t>per offender</t>
  </si>
  <si>
    <t>460 - Interstate Compact Fund</t>
  </si>
  <si>
    <t>904.117,907B.4</t>
  </si>
  <si>
    <t>To offset costs of complying with the interstate compact for adult offender supervision in ch.907B.4</t>
  </si>
  <si>
    <t>Fort Madison</t>
  </si>
  <si>
    <t>Pay for Stay</t>
  </si>
  <si>
    <t>Incarceration Fee</t>
  </si>
  <si>
    <t>Incarceration Fee, 6% surcharge on all offender purchases</t>
  </si>
  <si>
    <t>House Rent</t>
  </si>
  <si>
    <t>State employees</t>
  </si>
  <si>
    <t>Monthly</t>
  </si>
  <si>
    <t>Offset for maintenance costs and general expenses</t>
  </si>
  <si>
    <t>County</t>
  </si>
  <si>
    <t>We prepare meals for the County Jail and Juvenile Center</t>
  </si>
  <si>
    <t>Debitek Card Fees</t>
  </si>
  <si>
    <t>Institutional Visitors</t>
  </si>
  <si>
    <t>per card</t>
  </si>
  <si>
    <t>Direct offset to expenditures-Commissary fund</t>
  </si>
  <si>
    <t>Fee for purchase of Debitek card to use in vending machines on site</t>
  </si>
  <si>
    <t>Medical Co-Pays</t>
  </si>
  <si>
    <t>Per Office Visit</t>
  </si>
  <si>
    <t>Copies</t>
  </si>
  <si>
    <t>Individuals requesting information</t>
  </si>
  <si>
    <t>$0.15 per copy</t>
  </si>
  <si>
    <t>per request</t>
  </si>
  <si>
    <t>Account Overdraft Fee</t>
  </si>
  <si>
    <t>per transaction</t>
  </si>
  <si>
    <t>Anamosa</t>
  </si>
  <si>
    <t>Per Transaction</t>
  </si>
  <si>
    <t>Locker Rent</t>
  </si>
  <si>
    <t>visitors, staff at ASP</t>
  </si>
  <si>
    <t>per use</t>
  </si>
  <si>
    <t>rent for lockers available in lobby</t>
  </si>
  <si>
    <t>varies</t>
  </si>
  <si>
    <t>monthly</t>
  </si>
  <si>
    <t>Weather Station fee</t>
  </si>
  <si>
    <t>National Weather Service</t>
  </si>
  <si>
    <t>quarterly</t>
  </si>
  <si>
    <t>Oakdale</t>
  </si>
  <si>
    <t>Newton</t>
  </si>
  <si>
    <t>Per Medical Visit</t>
  </si>
  <si>
    <t>direct offset to a non-general fund account</t>
  </si>
  <si>
    <t>Mt. Pleasant</t>
  </si>
  <si>
    <t>Direct offset to GF expenditures.</t>
  </si>
  <si>
    <t>Direct offset to expenditures - Centralized Canteen Account.</t>
  </si>
  <si>
    <t>Staff/Inmates</t>
  </si>
  <si>
    <t>Fee for replacement of Debitek card to use in vending machines on site</t>
  </si>
  <si>
    <t>Rockwell City</t>
  </si>
  <si>
    <t>Private Sector Job Pay</t>
  </si>
  <si>
    <t xml:space="preserve">50% of private sector pay, </t>
  </si>
  <si>
    <t xml:space="preserve"> off ground income, mileage</t>
  </si>
  <si>
    <t>Clarinda</t>
  </si>
  <si>
    <t>Meal Ticket Sales</t>
  </si>
  <si>
    <t>Clarinda Academy and staff</t>
  </si>
  <si>
    <t>Mitchellville</t>
  </si>
  <si>
    <t>Fort Dodge</t>
  </si>
  <si>
    <t>Rest and Remainder</t>
  </si>
  <si>
    <t>Varies</t>
  </si>
  <si>
    <t>per payroll</t>
  </si>
  <si>
    <t>Fees used to offset expense of housing offenders.</t>
  </si>
  <si>
    <t>Board of Examiners of Shorthand Reporters</t>
  </si>
  <si>
    <t>Annual License Renewal Fee</t>
  </si>
  <si>
    <t>Certified Shorthand Reporters</t>
  </si>
  <si>
    <t>General Fund</t>
  </si>
  <si>
    <t>Iowa Code section 602.3106; Iowa Court Rule 46.7(2)</t>
  </si>
  <si>
    <t>Money is deposited in general fund</t>
  </si>
  <si>
    <t>Fee for Late Filing of Annual Renewal</t>
  </si>
  <si>
    <t>Annually, if Report is Late</t>
  </si>
  <si>
    <t>Iowa Code section 602.3106; Iowa Court Rule 46.7(3)</t>
  </si>
  <si>
    <t>Number of CSRs who file late varies from year to year</t>
  </si>
  <si>
    <t>Examination Fee</t>
  </si>
  <si>
    <t>Candidates to be Certified Shorthand Reporters</t>
  </si>
  <si>
    <t>Due with each application for examination</t>
  </si>
  <si>
    <t>Iowa Code section 602.3106; Iowa Court Rule 46.7(1)</t>
  </si>
  <si>
    <t>Number of applicants to take examination varies from year to year</t>
  </si>
  <si>
    <t>Fee for Extension of Time to Complete Continuing Education</t>
  </si>
  <si>
    <t>Due with each extension application</t>
  </si>
  <si>
    <t>Iowa Code section 602.3106; Iowa Court Rule 46.7(6)</t>
  </si>
  <si>
    <t>Number of extension applications varies from year to year</t>
  </si>
  <si>
    <t>Fee for Reinstatement from Suspension</t>
  </si>
  <si>
    <t>Due with each reinstatement application</t>
  </si>
  <si>
    <t>Iowa Code section 602.3106; Iowa Court Rule 46.7(4)</t>
  </si>
  <si>
    <t>Number of reinstatement applications varies from year to year</t>
  </si>
  <si>
    <t>Fee for Reinstatement from Inactive Status</t>
  </si>
  <si>
    <t>Iowa Code section 602.3106; Iowa Court Rule 46.7(5)</t>
  </si>
  <si>
    <t>Board of Law Examiners</t>
  </si>
  <si>
    <t>Law Student Registration Fee</t>
  </si>
  <si>
    <t>Law Students</t>
  </si>
  <si>
    <t>Due with registration</t>
  </si>
  <si>
    <t>Iowa Code section 602.10108; Iowa Court Rule 31.2(1)</t>
  </si>
  <si>
    <t>Law Student Late Registration Fee</t>
  </si>
  <si>
    <t>Due with late registration in lieu of regular $25 fee</t>
  </si>
  <si>
    <t>Iowa Code section 602.10108; Iowa Court Rule 31.2(2)</t>
  </si>
  <si>
    <t>Bar Examination Fee</t>
  </si>
  <si>
    <t>Candidates for Admission by Examination</t>
  </si>
  <si>
    <t>Due with application to take bar examination</t>
  </si>
  <si>
    <t>Iowa Code section 602.10108; Iowa Court Rule 31.6</t>
  </si>
  <si>
    <t>Admission on Motion Fee</t>
  </si>
  <si>
    <t>Candidates for Admission on Motion</t>
  </si>
  <si>
    <t>Due with application for admission on motion</t>
  </si>
  <si>
    <t>Iowa Code section 602.10108; Iowa Court Rule 31.12(2)</t>
  </si>
  <si>
    <t>Office of Professional Regulation (Interpreter Function)</t>
  </si>
  <si>
    <t>Application Fee to be Interpreter</t>
  </si>
  <si>
    <t>Candidates to be Court Interpreters</t>
  </si>
  <si>
    <t>Due with application</t>
  </si>
  <si>
    <t>Iowa Court Rule 47.6(1)</t>
  </si>
  <si>
    <t>Iowa Court Rule 47.6(2)</t>
  </si>
  <si>
    <t>Registration Fee for Oral Interpreter Examination</t>
  </si>
  <si>
    <t>Candidate to be Certified Court Interpreter</t>
  </si>
  <si>
    <t>Iowa Court Rule 47.6(3)</t>
  </si>
  <si>
    <t>First time fee is $200; fee on subsequent attempts is $150; nonresident fee is $300</t>
  </si>
  <si>
    <t>Administrative Services Division (0001-0R64)</t>
  </si>
  <si>
    <t>IOWA System/NCIC User Fees</t>
  </si>
  <si>
    <t>User Agencies</t>
  </si>
  <si>
    <t>Based on message traffic</t>
  </si>
  <si>
    <t>N/A</t>
  </si>
  <si>
    <t>§80.9(2)(d); IOWA System User Agreement (contract)</t>
  </si>
  <si>
    <t>Fees are used to provide criminal justice data to all jurisdictions in the State of Iowa.  Includes salaries of system dedicated personnel, communications costs, software, training and other support costs.</t>
  </si>
  <si>
    <t>Issuance of weapon permits for non-residents &amp; non-peace officer state employees</t>
  </si>
  <si>
    <t>Permit Applicants</t>
  </si>
  <si>
    <t>5 Years</t>
  </si>
  <si>
    <t>§724.11; 661-91.4</t>
  </si>
  <si>
    <t>Fees are intended to pay for the costs of 1.00 FTE and printing of permit application forms.</t>
  </si>
  <si>
    <t>No average annual increase in fees since 1991.  Insufficient to pay annual costs.</t>
  </si>
  <si>
    <t>Renewal of weapon permits for non-residents &amp; non-peace officer state employees</t>
  </si>
  <si>
    <t>Included above</t>
  </si>
  <si>
    <t>Issuance of weapons permit by Iowa sheriff</t>
  </si>
  <si>
    <t>No average annual increase in fees since 1977.  Insufficient to pay annual costs.</t>
  </si>
  <si>
    <t>Renewal of weapons permit by Iowa sheriff</t>
  </si>
  <si>
    <t>Bail enforcement, private investigator, private security agency license</t>
  </si>
  <si>
    <t>PI/PS/BE Licensees</t>
  </si>
  <si>
    <t>§80A.5(3); 661-121.4, 661-121.7</t>
  </si>
  <si>
    <t>Bail enforcement, private investigator, private security ID Card</t>
  </si>
  <si>
    <t>PI/PS/BE Employees</t>
  </si>
  <si>
    <t>Per career or change in employer</t>
  </si>
  <si>
    <t>§80A.7(2); 661-121.11</t>
  </si>
  <si>
    <t>Out of state private investigation agency or private security agency - reciprocity license</t>
  </si>
  <si>
    <t>Periodic</t>
  </si>
  <si>
    <t>unknown</t>
  </si>
  <si>
    <t>§80A.18; 661-121.23</t>
  </si>
  <si>
    <t>PI/PS/BE licensing/ID card fingerprint processing</t>
  </si>
  <si>
    <t>PI/PS/BE Licensees and Employees</t>
  </si>
  <si>
    <t>Per license application, renewal, Per ID card issuance</t>
  </si>
  <si>
    <t>Began in 2002</t>
  </si>
  <si>
    <t>§80A.5(1); 661-121.7(2)</t>
  </si>
  <si>
    <t>Fees cover the processing costs of submitting fingerprints to the FBI and the fee charged by the FBI.</t>
  </si>
  <si>
    <t>Division of Criminal Investigation (0001-0R67)</t>
  </si>
  <si>
    <t>State criminal history check</t>
  </si>
  <si>
    <t>Requestors</t>
  </si>
  <si>
    <t>Per Check</t>
  </si>
  <si>
    <t>§690,§692; 661-11.5</t>
  </si>
  <si>
    <t>National criminal history check</t>
  </si>
  <si>
    <t xml:space="preserve">§692; 661-11.21 </t>
  </si>
  <si>
    <t>Fingerprinting service for DOT HazMat applicants</t>
  </si>
  <si>
    <t>Division of Criminal Investigation - Gaming</t>
  </si>
  <si>
    <t>Casino, pari-mutuel, and lottery background investigations</t>
  </si>
  <si>
    <t>Actual Costs - Reimb. receipts</t>
  </si>
  <si>
    <t>Activity Based</t>
  </si>
  <si>
    <t>Gaming Operating Budget - 0030-0R</t>
  </si>
  <si>
    <t>§99D, §99F</t>
  </si>
  <si>
    <t>These are reimbursement receipts intended to recoup the costs of conducting background investigations requested by the gaming establishment.</t>
  </si>
  <si>
    <t>Law enforcement services at gaming facilities</t>
  </si>
  <si>
    <t>Casinos and Tracks</t>
  </si>
  <si>
    <t>Allocated based on approved budget, billed through IRGC</t>
  </si>
  <si>
    <t>Annual</t>
  </si>
  <si>
    <t>Gaming Enforcement Fund (0030)</t>
  </si>
  <si>
    <t>Variable</t>
  </si>
  <si>
    <t>Sex Offender Reg. Fee and Civil Penalty</t>
  </si>
  <si>
    <t>Per Conviction</t>
  </si>
  <si>
    <t>Sex Offender Registry Fund</t>
  </si>
  <si>
    <t>No change since inception</t>
  </si>
  <si>
    <t>§692A.119</t>
  </si>
  <si>
    <t>Fees are used to augment appropriations in support the annual costs of maintaining the registry.</t>
  </si>
  <si>
    <t>State Fire Marshal (0001-0R72)</t>
  </si>
  <si>
    <t>Aboveground storage tank registration fee</t>
  </si>
  <si>
    <t>Storage Tank Owners</t>
  </si>
  <si>
    <t>State Fire Marshal</t>
  </si>
  <si>
    <t>Fees are used to defray the costs of licensing and inspection.</t>
  </si>
  <si>
    <t>Insufficient to cover the costs of the 2.5 to 3 FTE involved in the program.  Inspections conducted on a requested basis only.</t>
  </si>
  <si>
    <t>Aboveground storage tank registration late fee</t>
  </si>
  <si>
    <t>As assessed</t>
  </si>
  <si>
    <t>Commercial Explosives Licenses</t>
  </si>
  <si>
    <t>Licensees</t>
  </si>
  <si>
    <t>$60 annual fee, can be prorated for partial year</t>
  </si>
  <si>
    <t>General Fund - 0001</t>
  </si>
  <si>
    <t>Fees do not support the program, but are transferred to the general fund</t>
  </si>
  <si>
    <t>Contractors</t>
  </si>
  <si>
    <t>$500 per year</t>
  </si>
  <si>
    <t>§100C; 661-275.5</t>
  </si>
  <si>
    <t>Fire extinguishing system certification program - certification of additional "Responsible Managing Employees"</t>
  </si>
  <si>
    <t>$50 per year</t>
  </si>
  <si>
    <t>Fire extinguishing System Contractor amended certification</t>
  </si>
  <si>
    <t>§100C; 661-275.5(4)</t>
  </si>
  <si>
    <t>Architectural Firms</t>
  </si>
  <si>
    <t>Per Submittal</t>
  </si>
  <si>
    <t>§103A; 661-300.4</t>
  </si>
  <si>
    <t>Building code plan review fee - greater than $1.0 million</t>
  </si>
  <si>
    <t>Fire suppression system plan review - greater than $20,000</t>
  </si>
  <si>
    <t>Fire alarm system plan review - greater than $20,000</t>
  </si>
  <si>
    <t>Inspection of state owned buildings (other than Regents buildings)</t>
  </si>
  <si>
    <t>To Be Determined</t>
  </si>
  <si>
    <t>During construction</t>
  </si>
  <si>
    <t>§103A.10A; 661-300.5</t>
  </si>
  <si>
    <t>Inspection of Regents buildings</t>
  </si>
  <si>
    <t>Inspection of non-state owned buildings receiving state appropriation</t>
  </si>
  <si>
    <t>§103A; 661-300.5</t>
  </si>
  <si>
    <t>Energy review</t>
  </si>
  <si>
    <t>Unknown</t>
  </si>
  <si>
    <t>§103A; 661-303.5</t>
  </si>
  <si>
    <t>Manufactured home installation seal</t>
  </si>
  <si>
    <t>§103A.54; 661-16.625</t>
  </si>
  <si>
    <t>Manufactured home installation replacement seal</t>
  </si>
  <si>
    <t>Ground support and anchoring system Approval</t>
  </si>
  <si>
    <t>Manufactured home retailers, manufacturers or distributors license</t>
  </si>
  <si>
    <t>Increased 1/1/07</t>
  </si>
  <si>
    <t xml:space="preserve">§103A; 661-372.8 </t>
  </si>
  <si>
    <t>Licensed manufactured home retailer "Installer Certification"</t>
  </si>
  <si>
    <t xml:space="preserve">§103A; 661-16.622 </t>
  </si>
  <si>
    <t>Licensed manufactured home retailer "Installer Certification - Application Amendment"</t>
  </si>
  <si>
    <t>"Independent Manufactured Home Installer Certification"</t>
  </si>
  <si>
    <t>Manufactured home retailer supplemental statement fee for change of business name or business location</t>
  </si>
  <si>
    <t xml:space="preserve">§103A; 661-372.4 </t>
  </si>
  <si>
    <t>Modular code compliance seal - No prefix or "A" prefix</t>
  </si>
  <si>
    <t>§103A.23; 661-16.610</t>
  </si>
  <si>
    <t>Modular code compliance seal - B, C, D, E, etc prefixes</t>
  </si>
  <si>
    <t>Modular code compliance seal - Replacement seal</t>
  </si>
  <si>
    <t>Modular installation seal</t>
  </si>
  <si>
    <t>Modular installation replacement seal</t>
  </si>
  <si>
    <t>Inspection of licensed health care facility</t>
  </si>
  <si>
    <t>Inspection of licensed group home</t>
  </si>
  <si>
    <t>Inspection of certified elder group home</t>
  </si>
  <si>
    <t>Inspection of licensed assisted living facility</t>
  </si>
  <si>
    <t>Inspection of adult day services program</t>
  </si>
  <si>
    <t>Inspection of licensed child care facility</t>
  </si>
  <si>
    <t>As required</t>
  </si>
  <si>
    <t>Suitability inspection for possible health care, group home, elder group home, assisted living facility, adult day services</t>
  </si>
  <si>
    <t>Fire Service Training Bureau</t>
  </si>
  <si>
    <t>Firefighter certification</t>
  </si>
  <si>
    <t>Varies ($25 - 50 per test)</t>
  </si>
  <si>
    <t>Per Test</t>
  </si>
  <si>
    <t>§100B; 661-251.201, 661-251.203</t>
  </si>
  <si>
    <t>Fire and emergency services courses and tuition, conferences, publications, materials, and other</t>
  </si>
  <si>
    <t>Per Class</t>
  </si>
  <si>
    <t>Fees have always varied</t>
  </si>
  <si>
    <t>661.53.2(78GA,HF2492)</t>
  </si>
  <si>
    <t>Loan origination fee for Fire Fighting Equipment Revolving Loan Fund program</t>
  </si>
  <si>
    <t>Loan Recipient</t>
  </si>
  <si>
    <t>1% of loan amount</t>
  </si>
  <si>
    <t>Per Loan</t>
  </si>
  <si>
    <t>No change since program inception</t>
  </si>
  <si>
    <t>661-259.207(80GA,ch177)</t>
  </si>
  <si>
    <t>§103 and ARC 661</t>
  </si>
  <si>
    <t>Attorney General</t>
  </si>
  <si>
    <t>Iowa Consumer Credit Code Fund (0294)</t>
  </si>
  <si>
    <t>Consumer credit/debt collection fees</t>
  </si>
  <si>
    <t>Section 537.6203 was last amended in 2007, but fees and formula have not changed since enactment in 1974</t>
  </si>
  <si>
    <t>Iowa Code section 537.6203 and 61 IAC 22(537)</t>
  </si>
  <si>
    <t>Fees are used for 3.23 FTE positions including 1.41 attorney FTE's and 1.82 investigator FTE's.  Also includes misc. associated expenses.</t>
  </si>
  <si>
    <t>Professional Commercial Fundraisers (General Fund 0001)</t>
  </si>
  <si>
    <t>Professional commercial fundraiser registration permit fee</t>
  </si>
  <si>
    <t>Iowa Code chapter 13C and 61 IAC 24(13C)</t>
  </si>
  <si>
    <t>Money deposited into State General Fund.</t>
  </si>
  <si>
    <t>Emergency Response Fund (0330)</t>
  </si>
  <si>
    <t>*</t>
  </si>
  <si>
    <t>Registration Fee for Written Interpreter Examination</t>
  </si>
  <si>
    <t>Candidates to be Certified Court Interpreter</t>
  </si>
  <si>
    <t>Wireless cell phone subscriber</t>
  </si>
  <si>
    <t>Funds are used for Hazardous Materials Emergency Preparedness planning and training.  Additional information can be found within the DNR annual report.</t>
  </si>
  <si>
    <t>General Fund (0001)</t>
  </si>
  <si>
    <t>Professional commercial fundraisers as defined in Iowa Code Section 13C.1(4)</t>
  </si>
  <si>
    <t>Various - See comments for fees</t>
  </si>
  <si>
    <t>Section 537.6203 sets out a detailed formula for determining the amount per creditor or assignee employing a sliding scale.  Debt collectors must pay $10 annually.</t>
  </si>
  <si>
    <t>150 (# of offenders)</t>
  </si>
  <si>
    <t>8,836  (# of transactions)</t>
  </si>
  <si>
    <t>Monthly flat fee</t>
  </si>
  <si>
    <t>5,436*</t>
  </si>
  <si>
    <t>July 2007</t>
  </si>
  <si>
    <t>January 2007</t>
  </si>
  <si>
    <t>correctional supervision.  Receipts per offender cross fiscal years.</t>
  </si>
  <si>
    <t>Some of the receipts generated from fees are recorded as expenditure offsets  (Urinalysis (UA) Re-Testing Fee) rather than a receipt.  For example, the UA test is charged when an offender claims</t>
  </si>
  <si>
    <t>Iowa Law Enforcement Academy (ILEA)</t>
  </si>
  <si>
    <t>Basic Level I Training School</t>
  </si>
  <si>
    <t>per person, per class</t>
  </si>
  <si>
    <t>ILEA</t>
  </si>
  <si>
    <t>Certification Through Examination</t>
  </si>
  <si>
    <t>Officers transferring in from another State</t>
  </si>
  <si>
    <t>City and county law enforcement, Departments of Transportation and Natural Resources</t>
  </si>
  <si>
    <t>Defensive Duty Officer Knife Instructor School</t>
  </si>
  <si>
    <t>Defensive Tactics Instructor Recertification School</t>
  </si>
  <si>
    <t>Firearms Instructor Recertification School</t>
  </si>
  <si>
    <t>Law Enforcement Open Sight Rifle Instructor Recertification School</t>
  </si>
  <si>
    <t>The agency the person works for</t>
  </si>
  <si>
    <t>Precision Driving Instructor Recertification School</t>
  </si>
  <si>
    <t>Sub-Gun Instructor Recertification School</t>
  </si>
  <si>
    <t>Taser Instructor Recertification School</t>
  </si>
  <si>
    <t>Advanced Collision Investigation School</t>
  </si>
  <si>
    <t>Crime Scene Photography School</t>
  </si>
  <si>
    <t>Child Abduction Response and Search Protocols School</t>
  </si>
  <si>
    <t>Commercial Vehicle Awareness Course</t>
  </si>
  <si>
    <t>Post Blast Investigation School</t>
  </si>
  <si>
    <t>Second Gold-Star Leadership Conference</t>
  </si>
  <si>
    <t>AED, CPR, and First Aid Classes</t>
  </si>
  <si>
    <t>Jail Basic 40-Hour School</t>
  </si>
  <si>
    <t>Jail Medication Management Schools</t>
  </si>
  <si>
    <t>Jail In-Service 5-Hour Temporary Holding Facility</t>
  </si>
  <si>
    <t>Jail In-Service 20-Hour School</t>
  </si>
  <si>
    <t>Reserve Officer Training Module A</t>
  </si>
  <si>
    <t>Reserve Officer Training Module F</t>
  </si>
  <si>
    <t>that the test is inaccurate.   A sample is sent to a different lab; if the test result is the same as that of the original test, the offender is charged for the cost of the lab work.</t>
  </si>
  <si>
    <t>The * on the CBC pages represents the number of transactions rather than the number of offenders.</t>
  </si>
  <si>
    <t>The DOC and CBC District Departments are authorized by law to charge offenders for certain services.  Offenders are placed on a payment plan and receipts are collected while the offender is under</t>
  </si>
  <si>
    <t>The appropriate line item expenditure is credited when the offender pays the fee so that expenditures are not overstated.</t>
  </si>
  <si>
    <t>ILEA operating budget</t>
  </si>
  <si>
    <t>ILEA Operating Budget</t>
  </si>
  <si>
    <t>Total Revenues</t>
  </si>
  <si>
    <t>Number of FY 2011 Payors</t>
  </si>
  <si>
    <t>FY 2011 Total Revenue</t>
  </si>
  <si>
    <t>FY 2011 Total Net GF Revenue</t>
  </si>
  <si>
    <t>30                              6</t>
  </si>
  <si>
    <t>$270 FY10         $275 FY11</t>
  </si>
  <si>
    <t>$80 FY10        $90 FY11</t>
  </si>
  <si>
    <t>$135 FY10      $140 FY11</t>
  </si>
  <si>
    <t>ASP Baton Instructor School</t>
  </si>
  <si>
    <t>ASP Restraint Instructor School</t>
  </si>
  <si>
    <t>Bicycle Patrol Officer Instructor School</t>
  </si>
  <si>
    <t>Chemical Munitions Instructor School</t>
  </si>
  <si>
    <t>Defensive Flashlight Instructor School</t>
  </si>
  <si>
    <t>Defensive Tactics Instructor School</t>
  </si>
  <si>
    <t>Firearms Instructor School</t>
  </si>
  <si>
    <t>Law Enforcement Open Sight Rifle Instructor  School</t>
  </si>
  <si>
    <t>$275 FY11</t>
  </si>
  <si>
    <t>Less Lethal Munitions Instructor School</t>
  </si>
  <si>
    <t>Oleoresin Capsicum Instructor School</t>
  </si>
  <si>
    <t>PR-24 Baton Instructor School</t>
  </si>
  <si>
    <t>Precision Driving Instructor  School</t>
  </si>
  <si>
    <t>Radar/Lidar Instructor Course</t>
  </si>
  <si>
    <t>N/C</t>
  </si>
  <si>
    <t>Standardized Field Sobriety Testing Instructor Course</t>
  </si>
  <si>
    <t>$275 FY10      $15 FY11</t>
  </si>
  <si>
    <t>ASP Baton Instructor Recertification School</t>
  </si>
  <si>
    <t>ASP Restraint Instructor Recertification  School</t>
  </si>
  <si>
    <t>Bicycle Patrol Officer Instructor Recertification School</t>
  </si>
  <si>
    <t>Chemical Munitions Instructor Recertification School</t>
  </si>
  <si>
    <t>Defensive Flashlight Instructor Recertification School</t>
  </si>
  <si>
    <t>Defensive duty Officer Knife Instructor Recertification  School</t>
  </si>
  <si>
    <t>Less Lethal Munitions Instructor Recertification School</t>
  </si>
  <si>
    <t>Oleoresin Capsicum Instructor Recertification School</t>
  </si>
  <si>
    <t>PR-24 Baton Instructor  Recertification School</t>
  </si>
  <si>
    <t>Radar/Lidar Instructor  Recertification Course</t>
  </si>
  <si>
    <t>Standardized Field Sobriety Testing Instructor Recertification  Course</t>
  </si>
  <si>
    <t>Basic Criminal Investigation School</t>
  </si>
  <si>
    <t>The 6th Annual Iowa Police Bicycle Officers' Fall Training</t>
  </si>
  <si>
    <t>Bicycle Patrol Officer School</t>
  </si>
  <si>
    <t>N/C                 $180</t>
  </si>
  <si>
    <t>Court Security School (presented by Advanced Law Enforcement Readiness Training)</t>
  </si>
  <si>
    <t>First Gold Star Leadership Program</t>
  </si>
  <si>
    <t>First Line Supervision School</t>
  </si>
  <si>
    <t>Human Trafficking Investigations (Presented by the Department of Justice, Civil Rights Division)</t>
  </si>
  <si>
    <t>Horse Cruelty and Abuse Investigation School</t>
  </si>
  <si>
    <t>Instructor Development School</t>
  </si>
  <si>
    <t>Interviews and Interrogations School</t>
  </si>
  <si>
    <t>Investigation of Financial Crimes</t>
  </si>
  <si>
    <t>Media Relations for Law Enforcement School</t>
  </si>
  <si>
    <t>$60 FY10       $75 FY11</t>
  </si>
  <si>
    <t>Mental Illness Strategies: The Police Response</t>
  </si>
  <si>
    <t>$75 FY10     $85 FY11</t>
  </si>
  <si>
    <t>Police Training Officer School</t>
  </si>
  <si>
    <t>Proctoring of the MMPI-2 and Post Tests School</t>
  </si>
  <si>
    <t xml:space="preserve"> $595 FY11 ($400 paid to FBI)</t>
  </si>
  <si>
    <t xml:space="preserve">Sexual Deviance in the New Millennium  </t>
  </si>
  <si>
    <t xml:space="preserve"> Update School - Firearms Training</t>
  </si>
  <si>
    <t>Technical Collision Investigation School</t>
  </si>
  <si>
    <t>National Center for Missing and Exploited Children School</t>
  </si>
  <si>
    <t>Communications Supervisor Management School</t>
  </si>
  <si>
    <t>Communications Training Officer School</t>
  </si>
  <si>
    <t>Mental Health First Aid</t>
  </si>
  <si>
    <t>Jail Basic 10-Hour Temporary Holding Facility Schools</t>
  </si>
  <si>
    <t>Reserve Officer Training Module B</t>
  </si>
  <si>
    <t>Reserve Officer Training Module C</t>
  </si>
  <si>
    <t>Reserve Officer Training Module D</t>
  </si>
  <si>
    <t>Reserve Officer Training Module E</t>
  </si>
  <si>
    <t>$55 (one day)    $95 (two day)</t>
  </si>
  <si>
    <t>No  increase in fees since 1982.  The changes to Ch 724 created a 5 year fee with authority to carry forward unexpended balances.</t>
  </si>
  <si>
    <t>Included Above</t>
  </si>
  <si>
    <t>FY 2011 Total Local or Other Revenue</t>
  </si>
  <si>
    <t>9,323 (# of transactions</t>
  </si>
  <si>
    <t>293 (# of transactions</t>
  </si>
  <si>
    <t>52 (# of transactions</t>
  </si>
  <si>
    <t>Batterers' Education Program Fee / Moving On Group Fee</t>
  </si>
  <si>
    <t>BEP Clients / Women Clients</t>
  </si>
  <si>
    <t>Per Client Per 24 Week Session + Intake</t>
  </si>
  <si>
    <t>Funds are used to pay for District staff who coordinate and facilitate BEP/Moving On</t>
  </si>
  <si>
    <t>Per Client Per Week/Per Month</t>
  </si>
  <si>
    <t>CALM Group Fee</t>
  </si>
  <si>
    <t>Anger Management Clients</t>
  </si>
  <si>
    <t>Per Client Per Weekly Session</t>
  </si>
  <si>
    <t>Funds are used to pay for the operational support costs associated with this 24-session anger management program</t>
  </si>
  <si>
    <t>Sex Offender Treatment Program Materials Fee</t>
  </si>
  <si>
    <t>Fee covers the cost of purchasing and providing Sex Offender Treatment Program educational materials to all new SOTP clients</t>
  </si>
  <si>
    <t>All new Sex Offender Treatment Program clients are required to purchase the Program educational materials (workbooks), which are theirs then to keep throughout their Program participation and upon completion</t>
  </si>
  <si>
    <t>UA Confirmation Processing Fee - Deny Positive</t>
  </si>
  <si>
    <t>Any Client Who Denies A Positive UA Test &amp; Requests A Confirmation</t>
  </si>
  <si>
    <t>Fee covers the cost of an UA laboratory confirmation test</t>
  </si>
  <si>
    <t>Any client who tests positive for drug use during an in-house UA test, but denies those test results may request a professional laboratory confirmation AND will be required to pay for the cost of that lab confirmation</t>
  </si>
  <si>
    <t>482 Transactions</t>
  </si>
  <si>
    <t>Paid to Provider</t>
  </si>
  <si>
    <t>17,467 (# of transactions)</t>
  </si>
  <si>
    <t>712 (# of transactions)</t>
  </si>
  <si>
    <t>7,433 (# of transactions)</t>
  </si>
  <si>
    <t>251 (# of transactions)</t>
  </si>
  <si>
    <t>89 (# of transactions)</t>
  </si>
  <si>
    <t>498 (# of transactions)</t>
  </si>
  <si>
    <t>44 (# of transactions)</t>
  </si>
  <si>
    <t>5,967 (# of transactions)</t>
  </si>
  <si>
    <t>299 (# of transactions)</t>
  </si>
  <si>
    <t>347 (# of transactions)</t>
  </si>
  <si>
    <t>2,470 (# of transactions)</t>
  </si>
  <si>
    <t>221 (# of transactions)</t>
  </si>
  <si>
    <t>113 (# of transactions)</t>
  </si>
  <si>
    <t>322 (# of transactions)</t>
  </si>
  <si>
    <t>29 (# of transactions)</t>
  </si>
  <si>
    <t>Offenders &amp; Offender's Family &amp; Friends</t>
  </si>
  <si>
    <t>per email</t>
  </si>
  <si>
    <t>$3.00 Per Office Visit</t>
  </si>
  <si>
    <t>Per Visit</t>
  </si>
  <si>
    <t>Fee for purchase of Debitek card to use in vending machines on site.  No net receipts in FY11 due to refunds made to inmates charged incorrectly.</t>
  </si>
  <si>
    <t>Pay to Stay is a direct offset to GF expenditures; 6% charged for offender store orders (e.g.; personal clothing, commissary, etc.).</t>
  </si>
  <si>
    <t>O-Mail</t>
  </si>
  <si>
    <r>
      <t>Pay to Stay is a direct offset to GF expenditures</t>
    </r>
    <r>
      <rPr>
        <sz val="8"/>
        <rFont val="Arial"/>
        <family val="2"/>
      </rPr>
      <t>; 6% charged for offender store orders (e.g.; personal clothing, commissary, etc.).</t>
    </r>
  </si>
  <si>
    <r>
      <t xml:space="preserve">Medical Co-Pays </t>
    </r>
    <r>
      <rPr>
        <sz val="8"/>
        <rFont val="Arial"/>
        <family val="2"/>
      </rPr>
      <t>are a direct offset to GF expense</t>
    </r>
  </si>
  <si>
    <t>$.15 per copy</t>
  </si>
  <si>
    <t>Number of FY 2012 Payors</t>
  </si>
  <si>
    <t>FY 2012 Total Revenue</t>
  </si>
  <si>
    <t>Number of FY 2013 Payors</t>
  </si>
  <si>
    <t>FY 2013 Total Revenue</t>
  </si>
  <si>
    <t>Number of FY 2014 Payors</t>
  </si>
  <si>
    <t>FY 2014 Total Revenue</t>
  </si>
  <si>
    <t>FY 2012 Total Local or Other Revenue</t>
  </si>
  <si>
    <t>FY 2013 Total Net GF Revenue</t>
  </si>
  <si>
    <t>FY 2013 Total Local or Other Revenue</t>
  </si>
  <si>
    <t>FY 2014 Total Net GF Revenue</t>
  </si>
  <si>
    <t>FY 2014 Total Local or Other Revenue</t>
  </si>
  <si>
    <t xml:space="preserve">$1.00 per wireless phone, per month </t>
  </si>
  <si>
    <t>88 (# of transactions)</t>
  </si>
  <si>
    <t>6804 (# of transactions)</t>
  </si>
  <si>
    <t>439 (# of transactions)</t>
  </si>
  <si>
    <t>301 (# of transactions)</t>
  </si>
  <si>
    <t>2937 (# of transactions)</t>
  </si>
  <si>
    <t>238 (# of transactions)</t>
  </si>
  <si>
    <t>142 (# of transactions)</t>
  </si>
  <si>
    <t>414 (# of transactions)</t>
  </si>
  <si>
    <t>18 (# of transactions)</t>
  </si>
  <si>
    <t>18243 (# of transactions</t>
  </si>
  <si>
    <t>746*</t>
  </si>
  <si>
    <t>1296*</t>
  </si>
  <si>
    <t>716*</t>
  </si>
  <si>
    <t>291*</t>
  </si>
  <si>
    <t>6*</t>
  </si>
  <si>
    <t>409*</t>
  </si>
  <si>
    <t>1220*</t>
  </si>
  <si>
    <t>.</t>
  </si>
  <si>
    <t>106846 messages</t>
  </si>
  <si>
    <t>NC</t>
  </si>
  <si>
    <t>Fitness Specialist Training (Cooper Institute)</t>
  </si>
  <si>
    <t>TASER  Instructor School</t>
  </si>
  <si>
    <t>TASER Instructor School (Models covered X2, X26</t>
  </si>
  <si>
    <t>5-Star Innovation Leadership</t>
  </si>
  <si>
    <t>Sniper-Observer School</t>
  </si>
  <si>
    <t>Force on Force Orientation</t>
  </si>
  <si>
    <t>Mental Health In-Service</t>
  </si>
  <si>
    <t>Fees pay for 36 FTE and the associated support costs of maintaining the computerized criminal history database.</t>
  </si>
  <si>
    <t>Fees are charged to cover 107 FTE and associated support costs of regulating the gaming industry.</t>
  </si>
  <si>
    <t>Fees are used for 6.0 FTE positions including three clerks and three temporary persons.  Also includes printer for licenses and file cabinets for paperwork.</t>
  </si>
  <si>
    <t>Fees are used for 20.0 FTE positions including 18 full-time inspectors and two supervisors.  Also includes a computer for each inspector.</t>
  </si>
  <si>
    <t>Biennial</t>
  </si>
  <si>
    <t>§101; 661-224.4(2) &amp; H.F. 640</t>
  </si>
  <si>
    <t>Aboveground storage tank registration plan review</t>
  </si>
  <si>
    <t>§101; 661-221.3(3)</t>
  </si>
  <si>
    <t>Aboveground storage tank registration plan review fee per tank</t>
  </si>
  <si>
    <t>3 Year Term</t>
  </si>
  <si>
    <t>§101A &amp; HF 223</t>
  </si>
  <si>
    <t>Individual Blaster Licenses</t>
  </si>
  <si>
    <t>Fire extinguishing System Contractor additional endorsements</t>
  </si>
  <si>
    <t>Licensee</t>
  </si>
  <si>
    <t>2 Year Term</t>
  </si>
  <si>
    <t>§100C; 661-276.4</t>
  </si>
  <si>
    <t>Fire extinguishing System Installer amended certification</t>
  </si>
  <si>
    <t>Fire extinguishing System Installer additional endorsements</t>
  </si>
  <si>
    <t>Fire extinguishing System Installer trainee</t>
  </si>
  <si>
    <t>Fire extinguishing System Installer temporary</t>
  </si>
  <si>
    <t>§100C; 661-276.3(5) &amp; 661-276.4</t>
  </si>
  <si>
    <t>2013</t>
  </si>
  <si>
    <t>§100C; 661-277</t>
  </si>
  <si>
    <t>Alarm System Contractor-certification of additional "Responsible Managing Employees"</t>
  </si>
  <si>
    <t>Alarm System Contractor amended certification</t>
  </si>
  <si>
    <t>Alarm System Contractor additional endorsements</t>
  </si>
  <si>
    <t>Alarm System Installer amended certification</t>
  </si>
  <si>
    <t>Alarm System Installer additional endorsements</t>
  </si>
  <si>
    <t>Alarm System Installer Assistant</t>
  </si>
  <si>
    <t>Fire suppression system plan review - more than $5,000 up to and including $20,000</t>
  </si>
  <si>
    <t>Fire alarm system plan review - more than $5,000 and up to and including $20,000</t>
  </si>
  <si>
    <t>3 Year</t>
  </si>
  <si>
    <t>Signs/Special</t>
  </si>
  <si>
    <t>Permits - Statewide inspection program began March 1, 2009.</t>
  </si>
  <si>
    <t>Air Conditioning Disconnect/Reconnect</t>
  </si>
  <si>
    <t>Iowa Code section 80B.11B</t>
  </si>
  <si>
    <t>802                             (# of offenders)</t>
  </si>
  <si>
    <t>All Residential Center clients upon arrival at one of our facilities is required to purchase a new set of bed linens, which is theirs to keep when they leave the facility.  Fee increased from $15 to $25 in FY2014</t>
  </si>
  <si>
    <t>**3,006</t>
  </si>
  <si>
    <t xml:space="preserve">**48 </t>
  </si>
  <si>
    <t>**292</t>
  </si>
  <si>
    <t>Fee for BEP</t>
  </si>
  <si>
    <t>**422</t>
  </si>
  <si>
    <t>**81</t>
  </si>
  <si>
    <t>810*</t>
  </si>
  <si>
    <t>660*</t>
  </si>
  <si>
    <t>827*</t>
  </si>
  <si>
    <t>Direct offset to GF expenditures</t>
  </si>
  <si>
    <t>214196 messages</t>
  </si>
  <si>
    <t>300636 messages</t>
  </si>
  <si>
    <t>Direct offsets to GF expenditures</t>
  </si>
  <si>
    <t>Unless otherwise stated, all Prison and CBC Local Other Revenues are offset by GF or Other Operating Expenses.</t>
  </si>
  <si>
    <t>per occurrence</t>
  </si>
  <si>
    <t>A= Sixth District Fee System Data Base
B= Converted to state-wide fee system on Dec. 2, 2013</t>
  </si>
  <si>
    <t>Fee for Sex Offenders to pay for their programming</t>
  </si>
  <si>
    <t>Clients normally make weekly payments causing a high degree of overlap in the two data fee systems used in 2014 during the transition.
A= Sixth District Fee System Data Base
B= Converted to state-wide fee system on Dec. 2, 2013</t>
  </si>
  <si>
    <t>Daily rent fee residential with OWI programming</t>
  </si>
  <si>
    <t>Incoming and Outgoing Email</t>
  </si>
  <si>
    <t>Number of FY 2015 Payors</t>
  </si>
  <si>
    <t>FY 2015 Total Revenue</t>
  </si>
  <si>
    <t>Number of FY 2016 Payors</t>
  </si>
  <si>
    <t>FY 2016 Total Revenue</t>
  </si>
  <si>
    <t>FY 2015 Total Net GF Revenue</t>
  </si>
  <si>
    <t>FY 2015 Total Local or Other Revenue</t>
  </si>
  <si>
    <t>FY 2016 Total Net GF Revenue</t>
  </si>
  <si>
    <t>FY 2016 Total Local or Other Revenue</t>
  </si>
  <si>
    <t>Where is the fee amount listed? C=Code; R=Rule; N=neither</t>
  </si>
  <si>
    <t>C</t>
  </si>
  <si>
    <t xml:space="preserve">*Board of Law Examiners Admission on Motion Fee - Fee changed from $325 to $525 in FY 2014. </t>
  </si>
  <si>
    <t>*Board of Law Examiners Bar Exam Fee - Fee changed in FY 2014 from $325 to $425 for those who are not admitted to practice in another state and $525 for those who are admitted in another state.</t>
  </si>
  <si>
    <t>*Board of Law Examiners Law Student Registration Fee - Fee changed from $25 to $40 in FY 2014.</t>
  </si>
  <si>
    <t>*Board of Shorthand Reporters Examination Fee - Fee changed from $100 to $200 in FY 2014.</t>
  </si>
  <si>
    <t>*Board of Shorthand Reporters Annual License Renewal Fee - Fee changed from $60 to $85 in FY 2014.</t>
  </si>
  <si>
    <t xml:space="preserve">First time fee was $40 but is now $50; the re-take fee was $20 but is now $25. </t>
  </si>
  <si>
    <t xml:space="preserve">Fee commenced in FY 2014. </t>
  </si>
  <si>
    <t>Due with application for house counsel</t>
  </si>
  <si>
    <t>Candidates for House Counsel Admission</t>
  </si>
  <si>
    <t>House Counsel Application Fee</t>
  </si>
  <si>
    <t xml:space="preserve">Fee was changed in 2013 from $325 to $525. </t>
  </si>
  <si>
    <t>Bar Exam fee can be $425 for those not admitted in any other jurisdiction and $525 for those who are. This year there were 258@$425 &amp; 33@$525</t>
  </si>
  <si>
    <t>Late registration fee can be $150 or $250 depending on how late the registration is completed; for this FY 30@$150, 163@$250</t>
  </si>
  <si>
    <t>$1500 effective 7/1/16</t>
  </si>
  <si>
    <t>N</t>
  </si>
  <si>
    <t>$20 effective 8/1/15</t>
  </si>
  <si>
    <t>$23 effective 8/1/15</t>
  </si>
  <si>
    <t>$10 effective 8/1/15</t>
  </si>
  <si>
    <t>actual cost</t>
  </si>
  <si>
    <t>$50 intake plus $25 per group</t>
  </si>
  <si>
    <t>Sex Offender Registry Modification Fees</t>
  </si>
  <si>
    <t>Sex Offenders Requesting Modification to Registry Requirements</t>
  </si>
  <si>
    <t>$50 - Application / $550 - Evaluation</t>
  </si>
  <si>
    <t>Discontinued FY2015</t>
  </si>
  <si>
    <t>No Longer Use 12/1/15</t>
  </si>
  <si>
    <t>NA</t>
  </si>
  <si>
    <t>701*</t>
  </si>
  <si>
    <t>498*</t>
  </si>
  <si>
    <t>826*</t>
  </si>
  <si>
    <t>407*</t>
  </si>
  <si>
    <t>$3 Per Office Visit</t>
  </si>
  <si>
    <t>302425 messages</t>
  </si>
  <si>
    <t>310314 messages</t>
  </si>
  <si>
    <t>R</t>
  </si>
  <si>
    <t>Fire extinguishing system contractor certification 3310</t>
  </si>
  <si>
    <t>Fire extinguishing System Installer 3310</t>
  </si>
  <si>
    <t xml:space="preserve">Alarm System Contractor certification </t>
  </si>
  <si>
    <t xml:space="preserve">Alarm System Installer certification  </t>
  </si>
  <si>
    <t>Fire suppression system plan review - up to and including $5,000 - GF</t>
  </si>
  <si>
    <t>Fire alarm system plan review - up to and including $5,000 - GF</t>
  </si>
  <si>
    <t>R, C</t>
  </si>
  <si>
    <t>Residential Electrician (RE) $75; Residential Master (RM) $375; Residential Electrical Contractor (REC) $375</t>
  </si>
  <si>
    <t>75, $375</t>
  </si>
  <si>
    <t>$100                  $190 $15 (FY17)</t>
  </si>
  <si>
    <t>150  $250(FY16)</t>
  </si>
  <si>
    <t>$225 FY10       $250 FY11 $275 FY17</t>
  </si>
  <si>
    <t>250 270 FY17</t>
  </si>
  <si>
    <t>60  100 FY16</t>
  </si>
  <si>
    <t>$90 FY 10     $95 FY11 150 FY16</t>
  </si>
  <si>
    <t>$140 FY10     $145 FY11 $160 FY16</t>
  </si>
  <si>
    <t>Emergency  Care Provider</t>
  </si>
  <si>
    <t>Blue Courage/Executive</t>
  </si>
  <si>
    <t>Expandable/Collapsible Batons</t>
  </si>
  <si>
    <t>Five Star-PLE-Core Leadership</t>
  </si>
  <si>
    <t>Five Star-PLE-Strategic Leadership</t>
  </si>
  <si>
    <t>Five Star Innovation Leadership Medallion</t>
  </si>
  <si>
    <t>Five Star FBI/LEEDA Media and Public Relations</t>
  </si>
  <si>
    <t>Five Star Innovation 1st Supervisor Leadership</t>
  </si>
  <si>
    <t>Five Star Innovation 2nd Command Supervisor Leader</t>
  </si>
  <si>
    <t>Domestic Violence In-Service Training</t>
  </si>
  <si>
    <t>*Board of Law Examiners Law Student Late Registration Fee - Fee is $75 or $150 depending on how late the fee is. Fee changed to $150 &amp; $250 in FY 2014</t>
  </si>
  <si>
    <t>*Office of Professional Regulation Registration Fee for Written Interpreter Exam - The first time the test is taken, the fee is $50.  If part of the exam is passed, the fee is $25 to re-take.</t>
  </si>
  <si>
    <t>*Office of Professional Regulation Registration Fee for Oral Interpreter Exam - The first time the test is taken, the fee is $250 for residents and $500 for non-residents. This was changed in FY 2016</t>
  </si>
  <si>
    <t xml:space="preserve">ILEA Operating Budget       </t>
  </si>
  <si>
    <t xml:space="preserve">ILEA </t>
  </si>
  <si>
    <t xml:space="preserve">OWI Detection/Standardization </t>
  </si>
  <si>
    <t xml:space="preserve">The agency the person works </t>
  </si>
  <si>
    <t>Certain creditors engaged in consumer credit transactions, assignees of consumer credit debts, and debt collectors with total collections exceeding $25,000 in current or preceding calendar year.</t>
  </si>
  <si>
    <t>Fee for bedding while in residential facility. Offender keeps when they leave. Started 7/1/2009.</t>
  </si>
  <si>
    <t>Fee for washing resident bedding while in residential facility. Prior to 7/1/2009.</t>
  </si>
  <si>
    <t xml:space="preserve"> $0.58 per $1,000 (min. $200)</t>
  </si>
  <si>
    <t>$580 for first $1.0 million plus $0.32 for each addt'l $1,000</t>
  </si>
  <si>
    <t>Building code plan review fee - up to and including $1.0 million</t>
  </si>
  <si>
    <t>$170   $250 FY16</t>
  </si>
  <si>
    <t>$550  $575 FY16</t>
  </si>
  <si>
    <t>$475  $500 FY16</t>
  </si>
  <si>
    <t>$125  $150 FY17</t>
  </si>
  <si>
    <t>$4,000 FY10      $4,606 FY11 $5,697 FY15 $6,000 FY16  $6,240 FY17</t>
  </si>
  <si>
    <t>$850 FY10                 $500 FY11         $850 FY11  $850 FY17</t>
  </si>
  <si>
    <t xml:space="preserve"> 125 FY16</t>
  </si>
  <si>
    <t>Bicycle Maintenance for the Bicycle Patrol Officer School</t>
  </si>
  <si>
    <t>Tele communicator Advanced 24-Hour School</t>
  </si>
  <si>
    <t>Tele communicator Basic 40-Hour School</t>
  </si>
  <si>
    <t>In-Service Tele communicator School</t>
  </si>
  <si>
    <t>Tele communicator Supervisor Management School</t>
  </si>
  <si>
    <t>$70 FY10     $75 FY11</t>
  </si>
  <si>
    <t>Technical Accident Investigation Course</t>
  </si>
  <si>
    <t>Second (or subsequent) reinsertion of health care, group home, elder group home, assisted living facility, adult day services program</t>
  </si>
  <si>
    <t>Number of FY 2017 Payors</t>
  </si>
  <si>
    <t>FY 2017 Total Revenue</t>
  </si>
  <si>
    <t>Number of FY 2018 Payors</t>
  </si>
  <si>
    <t>FY 2018 Total Revenue</t>
  </si>
  <si>
    <t>FY 2017 Total Net GF Revenue</t>
  </si>
  <si>
    <t>FY 2017 Total Local or Other Revenue</t>
  </si>
  <si>
    <t>FY 2018 Total Net GF Revenue</t>
  </si>
  <si>
    <t>FY 2018 Total Local or Other Revenue</t>
  </si>
  <si>
    <t>Consumer Fireworks Retail Seller</t>
  </si>
  <si>
    <t>008X</t>
  </si>
  <si>
    <t>§100 and 661-265.22</t>
  </si>
  <si>
    <t>Varies-see comments for fees</t>
  </si>
  <si>
    <t>Consumer Fireworks Retail Seller License</t>
  </si>
  <si>
    <t>§100 and 661-265.31</t>
  </si>
  <si>
    <t>Consumer Fireworks Wholesaler</t>
  </si>
  <si>
    <t>Consumer Fireworks Wholesaler Registration</t>
  </si>
  <si>
    <t>1298 (multiple retests offered  free due to scoring issues)</t>
  </si>
  <si>
    <t>1316 (multiple retests offered  free due to scoring issues)</t>
  </si>
  <si>
    <t>Enrollment-based</t>
  </si>
  <si>
    <t>0 (no new loans were awarded)</t>
  </si>
  <si>
    <t>Requesting Casino or Business Entity</t>
  </si>
  <si>
    <t>No longer print for Hazmat</t>
  </si>
  <si>
    <t>$26 for Employees     $13 for volunteers</t>
  </si>
  <si>
    <t>$15 for all now</t>
  </si>
  <si>
    <t>$200 for offense after July 1, 1995             $250 for offense after July 1, 2009</t>
  </si>
  <si>
    <t>$2.50 per bed</t>
  </si>
  <si>
    <t>$10.00 per bed</t>
  </si>
  <si>
    <t>$75 per facility</t>
  </si>
  <si>
    <t>$25 per facility</t>
  </si>
  <si>
    <t>$125 per reinspection</t>
  </si>
  <si>
    <t>$150.00 per inspection</t>
  </si>
  <si>
    <t>§100; 661-200.4(7)a</t>
  </si>
  <si>
    <t>§100; 661-200.4(7)b</t>
  </si>
  <si>
    <t>§100; 661-200.4(7)c</t>
  </si>
  <si>
    <t>§100; 661-200.4(7)d</t>
  </si>
  <si>
    <t>§100; 661-200.4(7)e</t>
  </si>
  <si>
    <t>§100; 661-200.4(7)f</t>
  </si>
  <si>
    <t>Number of FY 2019 Payors</t>
  </si>
  <si>
    <t>FY 2019 Total Revenue</t>
  </si>
  <si>
    <t>Number of FY 2020 Payors</t>
  </si>
  <si>
    <t>FY 2020 Total Revenue</t>
  </si>
  <si>
    <t>Number of FY 2021 Payors</t>
  </si>
  <si>
    <t>FY 2021 Total Revnue</t>
  </si>
  <si>
    <t>Number of FY 2022 Payors</t>
  </si>
  <si>
    <t>FY 2022 Total Revenue</t>
  </si>
  <si>
    <t>Included Below</t>
  </si>
  <si>
    <t>RE 29/ RM 11/ REC 8</t>
  </si>
  <si>
    <t>RE $2,175/ RM $4,125/ REC $3,000</t>
  </si>
  <si>
    <t>RE 45/ RM 12/ REC 10</t>
  </si>
  <si>
    <t>RE $3,375/ RM $4,500/ REC $3,750</t>
  </si>
  <si>
    <t>Information as submitted by the Department/Agency in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</si>
</sst>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 #,##0"/>
    <numFmt numFmtId="166" formatCode="_(* #,##0_);_(* \(#,##0\);_(* &quot;-&quot;??_);_(@_)"/>
    <numFmt numFmtId="167" formatCode="&quot;$&quot;* #,##0.00"/>
  </numFmts>
  <fonts count="28" x14ac:knownFonts="1">
    <font>
      <sz val="10"/>
      <name val="Arial"/>
    </font>
    <font>
      <sz val="11"/>
      <color theme="1"/>
      <name val="Calibri"/>
      <family val="2"/>
      <scheme val="minor"/>
    </font>
    <font>
      <sz val="10"/>
      <name val="Arial"/>
      <family val="2"/>
    </font>
    <font>
      <sz val="8"/>
      <name val="Arial"/>
      <family val="2"/>
    </font>
    <font>
      <sz val="10"/>
      <name val="Arial"/>
      <family val="2"/>
    </font>
    <font>
      <b/>
      <sz val="10"/>
      <color indexed="81"/>
      <name val="Tahoma"/>
      <family val="2"/>
    </font>
    <font>
      <sz val="10"/>
      <color indexed="81"/>
      <name val="Tahoma"/>
      <family val="2"/>
    </font>
    <font>
      <b/>
      <sz val="9"/>
      <name val="Arial"/>
      <family val="2"/>
    </font>
    <font>
      <sz val="9"/>
      <color indexed="8"/>
      <name val="Calibri"/>
      <family val="2"/>
    </font>
    <font>
      <sz val="9"/>
      <color indexed="8"/>
      <name val="Arial"/>
      <family val="2"/>
    </font>
    <font>
      <sz val="8"/>
      <color indexed="8"/>
      <name val="Arial"/>
      <family val="2"/>
    </font>
    <font>
      <b/>
      <sz val="8"/>
      <name val="Arial"/>
      <family val="2"/>
    </font>
    <font>
      <sz val="9"/>
      <name val="Arial"/>
      <family val="2"/>
    </font>
    <font>
      <sz val="12"/>
      <color indexed="8"/>
      <name val="Arial"/>
      <family val="2"/>
    </font>
    <font>
      <b/>
      <sz val="9"/>
      <color indexed="8"/>
      <name val="Calibri"/>
      <family val="2"/>
    </font>
    <font>
      <sz val="9"/>
      <color rgb="FFFF0000"/>
      <name val="Arial"/>
      <family val="2"/>
    </font>
    <font>
      <sz val="8"/>
      <color rgb="FFFF0000"/>
      <name val="Arial"/>
      <family val="2"/>
    </font>
    <font>
      <b/>
      <sz val="8"/>
      <color theme="3" tint="-0.499984740745262"/>
      <name val="Arial"/>
      <family val="2"/>
    </font>
    <font>
      <b/>
      <sz val="10"/>
      <name val="Arial"/>
      <family val="2"/>
    </font>
    <font>
      <sz val="8"/>
      <color theme="3" tint="-0.499984740745262"/>
      <name val="Arial"/>
      <family val="2"/>
    </font>
    <font>
      <b/>
      <sz val="9"/>
      <color indexed="8"/>
      <name val="Arial"/>
      <family val="2"/>
    </font>
    <font>
      <b/>
      <sz val="8"/>
      <color indexed="8"/>
      <name val="Arial"/>
      <family val="2"/>
    </font>
    <font>
      <sz val="10"/>
      <name val="Arial"/>
      <family val="2"/>
    </font>
    <font>
      <sz val="9"/>
      <color rgb="FFFFFF0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3">
    <fill>
      <patternFill patternType="none"/>
    </fill>
    <fill>
      <patternFill patternType="gray125"/>
    </fill>
    <fill>
      <patternFill patternType="solid">
        <fgColor rgb="FFCCFFCC"/>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1">
    <xf numFmtId="0" fontId="0" fillId="0" borderId="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2" fillId="0" borderId="0"/>
    <xf numFmtId="43" fontId="22" fillId="0" borderId="0" applyFont="0" applyFill="0" applyBorder="0" applyAlignment="0" applyProtection="0"/>
  </cellStyleXfs>
  <cellXfs count="448">
    <xf numFmtId="0" fontId="0" fillId="0" borderId="0" xfId="0"/>
    <xf numFmtId="0" fontId="7" fillId="0" borderId="0" xfId="0" applyFont="1" applyAlignment="1">
      <alignment horizontal="center"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8" fillId="0" borderId="0" xfId="0" applyFont="1"/>
    <xf numFmtId="0" fontId="8" fillId="0" borderId="2" xfId="0" applyFont="1" applyBorder="1" applyAlignment="1">
      <alignment vertical="top"/>
    </xf>
    <xf numFmtId="0" fontId="8" fillId="0" borderId="2" xfId="0" applyFont="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left" vertical="top" wrapText="1"/>
    </xf>
    <xf numFmtId="0" fontId="8" fillId="0" borderId="0" xfId="0" applyFont="1" applyAlignment="1">
      <alignment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wrapText="1"/>
    </xf>
    <xf numFmtId="0" fontId="9" fillId="0" borderId="0" xfId="0" applyFont="1"/>
    <xf numFmtId="0" fontId="9" fillId="0" borderId="0" xfId="0" applyFont="1" applyBorder="1"/>
    <xf numFmtId="0" fontId="9" fillId="0" borderId="0" xfId="0" applyFont="1" applyFill="1" applyBorder="1"/>
    <xf numFmtId="0" fontId="9" fillId="0" borderId="0" xfId="0" applyFont="1" applyAlignment="1">
      <alignment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Border="1"/>
    <xf numFmtId="0" fontId="8" fillId="0" borderId="0" xfId="0" applyFont="1" applyFill="1" applyBorder="1" applyAlignment="1">
      <alignment vertical="top"/>
    </xf>
    <xf numFmtId="0" fontId="8" fillId="0" borderId="0" xfId="0" applyFont="1" applyFill="1" applyBorder="1"/>
    <xf numFmtId="0" fontId="8" fillId="0" borderId="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center"/>
    </xf>
    <xf numFmtId="0" fontId="9" fillId="0" borderId="0" xfId="0" applyFont="1" applyAlignment="1"/>
    <xf numFmtId="165" fontId="9" fillId="0" borderId="2" xfId="1" applyNumberFormat="1" applyFont="1" applyFill="1" applyBorder="1" applyAlignment="1">
      <alignment horizontal="center" vertical="top"/>
    </xf>
    <xf numFmtId="165" fontId="7" fillId="0" borderId="1" xfId="0" applyNumberFormat="1" applyFont="1" applyBorder="1" applyAlignment="1">
      <alignment horizontal="center" wrapText="1"/>
    </xf>
    <xf numFmtId="165" fontId="8" fillId="0" borderId="0" xfId="1" applyNumberFormat="1" applyFont="1" applyFill="1" applyAlignment="1">
      <alignment horizontal="center" vertical="top" wrapText="1"/>
    </xf>
    <xf numFmtId="165" fontId="8" fillId="0" borderId="2" xfId="1" applyNumberFormat="1" applyFont="1" applyFill="1" applyBorder="1" applyAlignment="1">
      <alignment horizontal="center" vertical="top" wrapText="1"/>
    </xf>
    <xf numFmtId="165" fontId="8" fillId="0" borderId="0" xfId="1" applyNumberFormat="1" applyFont="1" applyFill="1" applyBorder="1" applyAlignment="1">
      <alignment horizontal="center" vertical="top" wrapText="1"/>
    </xf>
    <xf numFmtId="165" fontId="8" fillId="0" borderId="0" xfId="0" applyNumberFormat="1" applyFont="1" applyBorder="1" applyAlignment="1">
      <alignment horizontal="center" wrapText="1"/>
    </xf>
    <xf numFmtId="165" fontId="8" fillId="0" borderId="0" xfId="0" applyNumberFormat="1" applyFont="1" applyAlignment="1">
      <alignment horizontal="center" wrapText="1"/>
    </xf>
    <xf numFmtId="165" fontId="8" fillId="0" borderId="0" xfId="0" applyNumberFormat="1" applyFont="1" applyAlignment="1">
      <alignment wrapText="1"/>
    </xf>
    <xf numFmtId="165" fontId="9" fillId="0" borderId="0" xfId="1" applyNumberFormat="1" applyFont="1" applyFill="1" applyBorder="1" applyAlignment="1">
      <alignment horizontal="center" vertical="top"/>
    </xf>
    <xf numFmtId="165" fontId="9" fillId="0" borderId="0" xfId="0" applyNumberFormat="1" applyFont="1" applyBorder="1" applyAlignment="1">
      <alignment horizontal="center"/>
    </xf>
    <xf numFmtId="165" fontId="9" fillId="0" borderId="0" xfId="0" applyNumberFormat="1" applyFont="1" applyAlignment="1">
      <alignment horizontal="center"/>
    </xf>
    <xf numFmtId="165" fontId="9" fillId="0" borderId="0" xfId="0" applyNumberFormat="1" applyFont="1"/>
    <xf numFmtId="164" fontId="9" fillId="0" borderId="0" xfId="0" applyNumberFormat="1" applyFont="1"/>
    <xf numFmtId="0" fontId="9" fillId="0" borderId="0" xfId="0" applyFont="1" applyBorder="1" applyAlignment="1">
      <alignment wrapText="1"/>
    </xf>
    <xf numFmtId="165" fontId="9" fillId="0" borderId="0" xfId="1" applyNumberFormat="1" applyFont="1" applyFill="1" applyBorder="1" applyAlignment="1">
      <alignment horizontal="center"/>
    </xf>
    <xf numFmtId="37" fontId="8" fillId="0" borderId="0" xfId="0" applyNumberFormat="1" applyFont="1" applyFill="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xf numFmtId="3" fontId="7" fillId="0" borderId="1" xfId="0" applyNumberFormat="1"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xf numFmtId="165" fontId="7" fillId="0" borderId="1" xfId="0" applyNumberFormat="1" applyFont="1" applyFill="1" applyBorder="1" applyAlignment="1">
      <alignment horizontal="center" wrapText="1"/>
    </xf>
    <xf numFmtId="0" fontId="9" fillId="0" borderId="0" xfId="0" applyFont="1" applyFill="1" applyAlignment="1"/>
    <xf numFmtId="165" fontId="9" fillId="0" borderId="0" xfId="0" applyNumberFormat="1" applyFont="1" applyFill="1" applyAlignment="1">
      <alignment vertical="top"/>
    </xf>
    <xf numFmtId="165" fontId="10" fillId="0" borderId="0" xfId="0" applyNumberFormat="1" applyFont="1" applyAlignment="1">
      <alignment horizontal="center" vertical="top" wrapText="1"/>
    </xf>
    <xf numFmtId="0" fontId="10" fillId="0" borderId="0" xfId="0" applyFont="1" applyFill="1" applyAlignment="1">
      <alignment horizontal="center" vertical="top" wrapText="1"/>
    </xf>
    <xf numFmtId="0" fontId="10" fillId="0" borderId="0" xfId="0" applyFont="1" applyFill="1" applyAlignment="1">
      <alignment vertical="top" wrapText="1"/>
    </xf>
    <xf numFmtId="164" fontId="9" fillId="0" borderId="0" xfId="0" applyNumberFormat="1" applyFont="1" applyFill="1" applyBorder="1" applyAlignment="1">
      <alignment horizontal="center"/>
    </xf>
    <xf numFmtId="164" fontId="9" fillId="0" borderId="0" xfId="0" applyNumberFormat="1" applyFont="1" applyFill="1" applyAlignment="1">
      <alignment horizontal="center"/>
    </xf>
    <xf numFmtId="164" fontId="9" fillId="0" borderId="0" xfId="0" applyNumberFormat="1" applyFont="1" applyFill="1"/>
    <xf numFmtId="0" fontId="11" fillId="0" borderId="0" xfId="0" applyFont="1" applyAlignment="1">
      <alignment horizontal="center" wrapText="1"/>
    </xf>
    <xf numFmtId="0" fontId="11" fillId="0" borderId="0" xfId="0" applyFont="1" applyBorder="1" applyAlignment="1">
      <alignment horizontal="center" wrapText="1"/>
    </xf>
    <xf numFmtId="3" fontId="11" fillId="0" borderId="0" xfId="0" applyNumberFormat="1" applyFont="1" applyBorder="1" applyAlignment="1">
      <alignment horizontal="center" wrapText="1"/>
    </xf>
    <xf numFmtId="165" fontId="11" fillId="0" borderId="0" xfId="0" applyNumberFormat="1" applyFont="1" applyBorder="1" applyAlignment="1">
      <alignment horizontal="center" wrapText="1"/>
    </xf>
    <xf numFmtId="3" fontId="11" fillId="0" borderId="0" xfId="0" applyNumberFormat="1" applyFont="1" applyFill="1" applyBorder="1" applyAlignment="1">
      <alignment horizontal="center" wrapText="1"/>
    </xf>
    <xf numFmtId="165" fontId="11" fillId="0" borderId="0" xfId="0" applyNumberFormat="1" applyFont="1" applyFill="1" applyBorder="1" applyAlignment="1">
      <alignment horizontal="center" wrapText="1"/>
    </xf>
    <xf numFmtId="0" fontId="11" fillId="0" borderId="1" xfId="0" applyFont="1" applyBorder="1" applyAlignment="1">
      <alignment horizontal="center" wrapText="1"/>
    </xf>
    <xf numFmtId="0" fontId="10" fillId="0" borderId="0" xfId="0" applyFont="1" applyAlignment="1"/>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44" fontId="10" fillId="0" borderId="2" xfId="1" applyFont="1" applyFill="1" applyBorder="1" applyAlignment="1">
      <alignment horizontal="center" vertical="top" wrapText="1"/>
    </xf>
    <xf numFmtId="165" fontId="10" fillId="0" borderId="2" xfId="0" applyNumberFormat="1" applyFont="1" applyFill="1" applyBorder="1" applyAlignment="1">
      <alignment horizontal="center" vertical="top" wrapText="1"/>
    </xf>
    <xf numFmtId="14" fontId="10" fillId="0" borderId="2" xfId="0" applyNumberFormat="1" applyFont="1" applyBorder="1" applyAlignment="1">
      <alignment vertical="top" wrapText="1"/>
    </xf>
    <xf numFmtId="0" fontId="10" fillId="0" borderId="2" xfId="0" applyFont="1" applyFill="1" applyBorder="1" applyAlignment="1">
      <alignment vertical="top" wrapText="1"/>
    </xf>
    <xf numFmtId="0" fontId="10" fillId="0" borderId="0" xfId="0" applyFont="1" applyFill="1"/>
    <xf numFmtId="3" fontId="10" fillId="0" borderId="2"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2" xfId="0" applyFont="1" applyBorder="1" applyAlignment="1">
      <alignment horizontal="left" vertical="top" wrapText="1"/>
    </xf>
    <xf numFmtId="165" fontId="10" fillId="0" borderId="2" xfId="0" applyNumberFormat="1" applyFont="1" applyBorder="1" applyAlignment="1">
      <alignment horizontal="center" vertical="top" wrapText="1"/>
    </xf>
    <xf numFmtId="3" fontId="10" fillId="0" borderId="2" xfId="0" applyNumberFormat="1" applyFont="1" applyBorder="1" applyAlignment="1">
      <alignment horizontal="center" vertical="top" wrapText="1"/>
    </xf>
    <xf numFmtId="0" fontId="10" fillId="0" borderId="0" xfId="0" applyFont="1" applyBorder="1" applyAlignment="1">
      <alignment vertical="top" wrapText="1"/>
    </xf>
    <xf numFmtId="0" fontId="10" fillId="0" borderId="0" xfId="0" applyFont="1" applyAlignment="1">
      <alignment vertical="top"/>
    </xf>
    <xf numFmtId="0" fontId="10" fillId="0" borderId="0" xfId="0"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0" fontId="10" fillId="0" borderId="0" xfId="0" applyFont="1" applyFill="1" applyAlignment="1">
      <alignment horizontal="center" vertical="top"/>
    </xf>
    <xf numFmtId="165" fontId="10" fillId="0" borderId="0" xfId="0" applyNumberFormat="1" applyFont="1" applyAlignment="1">
      <alignment vertical="top"/>
    </xf>
    <xf numFmtId="0" fontId="10" fillId="0" borderId="0" xfId="0" applyFont="1" applyFill="1" applyAlignment="1">
      <alignment vertical="top"/>
    </xf>
    <xf numFmtId="0" fontId="9" fillId="0" borderId="0" xfId="0" applyFont="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164" fontId="9" fillId="0" borderId="2" xfId="0" applyNumberFormat="1" applyFont="1" applyFill="1" applyBorder="1" applyAlignment="1">
      <alignment horizontal="center" vertical="top" wrapText="1"/>
    </xf>
    <xf numFmtId="164" fontId="8" fillId="0" borderId="2" xfId="0" applyNumberFormat="1" applyFont="1" applyFill="1" applyBorder="1" applyAlignment="1">
      <alignment horizontal="left" vertical="top" wrapText="1"/>
    </xf>
    <xf numFmtId="0" fontId="9"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Fill="1" applyBorder="1" applyAlignment="1">
      <alignment wrapText="1"/>
    </xf>
    <xf numFmtId="0" fontId="8" fillId="0" borderId="0" xfId="0" applyFont="1" applyBorder="1" applyAlignment="1">
      <alignment wrapText="1"/>
    </xf>
    <xf numFmtId="165" fontId="10" fillId="0" borderId="0" xfId="0" applyNumberFormat="1" applyFont="1" applyFill="1" applyAlignment="1">
      <alignment horizontal="center" vertical="top" wrapText="1"/>
    </xf>
    <xf numFmtId="0" fontId="9" fillId="0" borderId="0" xfId="0" applyFont="1" applyAlignment="1">
      <alignment vertical="top"/>
    </xf>
    <xf numFmtId="0" fontId="9" fillId="0" borderId="0" xfId="0" applyFont="1" applyAlignment="1">
      <alignment horizontal="center" vertical="top" wrapText="1"/>
    </xf>
    <xf numFmtId="0" fontId="9" fillId="0" borderId="0" xfId="0" applyFont="1" applyAlignment="1">
      <alignment horizontal="left" wrapText="1"/>
    </xf>
    <xf numFmtId="0" fontId="9" fillId="0" borderId="0" xfId="0" applyFont="1" applyAlignment="1">
      <alignment vertical="top" wrapText="1"/>
    </xf>
    <xf numFmtId="0" fontId="7" fillId="0" borderId="0" xfId="0" applyFont="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9" fillId="0" borderId="2" xfId="0" applyFont="1" applyBorder="1" applyAlignment="1">
      <alignment vertical="top" wrapText="1"/>
    </xf>
    <xf numFmtId="0" fontId="9" fillId="0" borderId="2" xfId="0" applyFont="1" applyBorder="1" applyAlignment="1">
      <alignment vertical="top"/>
    </xf>
    <xf numFmtId="0" fontId="9" fillId="0" borderId="2" xfId="0"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164" fontId="9" fillId="0" borderId="0" xfId="1" applyNumberFormat="1" applyFont="1" applyFill="1" applyBorder="1" applyAlignment="1">
      <alignment horizontal="center" vertical="top"/>
    </xf>
    <xf numFmtId="164" fontId="9" fillId="0" borderId="0" xfId="0" applyNumberFormat="1" applyFont="1" applyBorder="1" applyAlignment="1">
      <alignment horizontal="center"/>
    </xf>
    <xf numFmtId="164" fontId="9" fillId="0" borderId="0" xfId="0" applyNumberFormat="1" applyFont="1" applyAlignment="1">
      <alignment horizontal="center"/>
    </xf>
    <xf numFmtId="165" fontId="9" fillId="0" borderId="0" xfId="1" applyNumberFormat="1" applyFont="1" applyFill="1" applyAlignment="1">
      <alignment horizontal="right" vertical="top"/>
    </xf>
    <xf numFmtId="165" fontId="9" fillId="0" borderId="2" xfId="1" applyNumberFormat="1" applyFont="1" applyFill="1" applyBorder="1" applyAlignment="1">
      <alignment horizontal="right" vertical="top"/>
    </xf>
    <xf numFmtId="0" fontId="9" fillId="0" borderId="2" xfId="0" applyFont="1" applyBorder="1" applyAlignment="1"/>
    <xf numFmtId="0" fontId="9" fillId="0" borderId="2" xfId="0" applyFont="1" applyFill="1" applyBorder="1" applyAlignment="1">
      <alignment horizontal="center"/>
    </xf>
    <xf numFmtId="0" fontId="9" fillId="0" borderId="2" xfId="0" applyFont="1" applyFill="1" applyBorder="1" applyAlignment="1">
      <alignment horizontal="center" wrapText="1"/>
    </xf>
    <xf numFmtId="6" fontId="9" fillId="0" borderId="0" xfId="0" applyNumberFormat="1" applyFont="1" applyFill="1" applyAlignment="1">
      <alignment horizontal="center" vertical="top" wrapText="1"/>
    </xf>
    <xf numFmtId="6" fontId="9" fillId="0" borderId="2" xfId="0" applyNumberFormat="1" applyFont="1" applyFill="1" applyBorder="1" applyAlignment="1">
      <alignment horizontal="center" vertical="top" wrapText="1"/>
    </xf>
    <xf numFmtId="165" fontId="9" fillId="0" borderId="2" xfId="1" applyNumberFormat="1" applyFont="1" applyFill="1" applyBorder="1" applyAlignment="1">
      <alignment horizontal="right" vertical="top" wrapText="1"/>
    </xf>
    <xf numFmtId="3" fontId="7" fillId="0" borderId="1" xfId="0" applyNumberFormat="1" applyFont="1" applyFill="1" applyBorder="1" applyAlignment="1">
      <alignment horizont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Alignment="1">
      <alignment horizontal="center"/>
    </xf>
    <xf numFmtId="164" fontId="7" fillId="0" borderId="1" xfId="0" applyNumberFormat="1" applyFont="1" applyFill="1" applyBorder="1" applyAlignment="1">
      <alignment horizontal="center" wrapText="1"/>
    </xf>
    <xf numFmtId="165" fontId="9" fillId="0" borderId="2" xfId="1" applyNumberFormat="1" applyFont="1" applyFill="1" applyBorder="1" applyAlignment="1">
      <alignment horizontal="right" vertical="center"/>
    </xf>
    <xf numFmtId="0" fontId="9" fillId="0" borderId="0" xfId="0" applyFont="1" applyFill="1" applyBorder="1" applyAlignment="1" applyProtection="1">
      <alignment horizontal="center" vertical="top"/>
      <protection locked="0"/>
    </xf>
    <xf numFmtId="0" fontId="0" fillId="0" borderId="0" xfId="0"/>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9" fillId="0" borderId="0" xfId="0" applyFont="1" applyFill="1" applyAlignment="1">
      <alignment horizontal="left" vertical="top" wrapText="1"/>
    </xf>
    <xf numFmtId="0" fontId="9" fillId="0" borderId="2" xfId="0" applyFont="1" applyFill="1" applyBorder="1" applyAlignment="1">
      <alignment horizontal="center" vertical="top"/>
    </xf>
    <xf numFmtId="0" fontId="9" fillId="0" borderId="0" xfId="0" applyFont="1" applyFill="1"/>
    <xf numFmtId="0" fontId="9" fillId="0" borderId="0" xfId="0" applyFont="1" applyFill="1" applyAlignment="1">
      <alignment vertical="top"/>
    </xf>
    <xf numFmtId="0" fontId="9" fillId="0" borderId="2" xfId="0" applyFont="1" applyFill="1" applyBorder="1" applyAlignment="1">
      <alignment vertical="top" wrapText="1"/>
    </xf>
    <xf numFmtId="0" fontId="9" fillId="0" borderId="0" xfId="0" applyFont="1" applyFill="1" applyAlignment="1">
      <alignment vertical="top" wrapText="1"/>
    </xf>
    <xf numFmtId="165" fontId="9" fillId="0" borderId="0" xfId="0" applyNumberFormat="1" applyFont="1" applyFill="1" applyAlignment="1">
      <alignment horizontal="center" vertical="top"/>
    </xf>
    <xf numFmtId="0" fontId="9" fillId="0" borderId="0" xfId="0" applyFont="1" applyBorder="1" applyAlignment="1">
      <alignment vertical="center"/>
    </xf>
    <xf numFmtId="0" fontId="12"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0" fontId="9" fillId="0" borderId="0" xfId="0" applyFont="1" applyFill="1" applyAlignment="1">
      <alignment wrapText="1"/>
    </xf>
    <xf numFmtId="0" fontId="9" fillId="0" borderId="0" xfId="0" applyFont="1" applyBorder="1" applyAlignment="1">
      <alignment vertical="center"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xf>
    <xf numFmtId="165" fontId="9" fillId="0" borderId="3" xfId="1" applyNumberFormat="1" applyFont="1" applyFill="1" applyBorder="1" applyAlignment="1">
      <alignment horizontal="center" vertical="top"/>
    </xf>
    <xf numFmtId="165" fontId="9" fillId="0" borderId="3" xfId="0" applyNumberFormat="1" applyFont="1" applyFill="1" applyBorder="1" applyAlignment="1">
      <alignment horizontal="center" vertical="top"/>
    </xf>
    <xf numFmtId="0" fontId="0" fillId="0" borderId="0" xfId="0" applyFill="1"/>
    <xf numFmtId="0" fontId="9" fillId="0" borderId="3" xfId="47" applyFont="1" applyFill="1" applyBorder="1" applyAlignment="1">
      <alignment horizontal="center" vertical="top" wrapText="1"/>
    </xf>
    <xf numFmtId="165" fontId="9" fillId="0" borderId="3" xfId="48" applyNumberFormat="1" applyFont="1" applyFill="1" applyBorder="1" applyAlignment="1">
      <alignment horizontal="center" vertical="top" wrapText="1"/>
    </xf>
    <xf numFmtId="165" fontId="12" fillId="0" borderId="3" xfId="48" applyNumberFormat="1" applyFont="1" applyFill="1" applyBorder="1" applyAlignment="1">
      <alignment horizontal="center" vertical="top" wrapText="1"/>
    </xf>
    <xf numFmtId="0" fontId="9" fillId="0" borderId="3" xfId="0" applyFont="1" applyFill="1" applyBorder="1"/>
    <xf numFmtId="0" fontId="7" fillId="0" borderId="3" xfId="0" applyFont="1" applyFill="1" applyBorder="1" applyAlignment="1">
      <alignment horizontal="center" wrapText="1"/>
    </xf>
    <xf numFmtId="3" fontId="7" fillId="0" borderId="3" xfId="0" applyNumberFormat="1" applyFont="1" applyFill="1" applyBorder="1" applyAlignment="1">
      <alignment horizontal="center" wrapText="1"/>
    </xf>
    <xf numFmtId="165" fontId="7" fillId="0" borderId="3" xfId="0" applyNumberFormat="1" applyFont="1" applyFill="1" applyBorder="1" applyAlignment="1">
      <alignment horizontal="center" wrapText="1"/>
    </xf>
    <xf numFmtId="0" fontId="9" fillId="0" borderId="3" xfId="0" applyFont="1" applyFill="1" applyBorder="1" applyAlignment="1"/>
    <xf numFmtId="165" fontId="9" fillId="0" borderId="3" xfId="24" applyNumberFormat="1" applyFont="1" applyFill="1" applyBorder="1" applyAlignment="1">
      <alignment horizontal="center" vertical="top"/>
    </xf>
    <xf numFmtId="3" fontId="9" fillId="0" borderId="3" xfId="0" applyNumberFormat="1" applyFont="1" applyFill="1" applyBorder="1" applyAlignment="1">
      <alignment horizontal="center" vertical="top"/>
    </xf>
    <xf numFmtId="0" fontId="12" fillId="0" borderId="0" xfId="0" applyFont="1" applyFill="1"/>
    <xf numFmtId="0" fontId="7" fillId="0" borderId="0" xfId="0" applyFont="1" applyBorder="1" applyAlignment="1">
      <alignment horizontal="center" wrapText="1"/>
    </xf>
    <xf numFmtId="164" fontId="7" fillId="0" borderId="0" xfId="0" applyNumberFormat="1" applyFont="1" applyBorder="1" applyAlignment="1">
      <alignment horizontal="center" wrapText="1"/>
    </xf>
    <xf numFmtId="3" fontId="7" fillId="0" borderId="0" xfId="0" applyNumberFormat="1" applyFont="1" applyBorder="1" applyAlignment="1">
      <alignment horizontal="center" wrapText="1"/>
    </xf>
    <xf numFmtId="3"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Font="1" applyFill="1" applyAlignment="1">
      <alignment horizontal="center" wrapText="1"/>
    </xf>
    <xf numFmtId="0" fontId="9" fillId="0" borderId="4" xfId="0" applyFont="1" applyBorder="1" applyAlignment="1">
      <alignment vertical="top" wrapText="1"/>
    </xf>
    <xf numFmtId="0" fontId="9" fillId="0" borderId="4" xfId="0" applyFont="1" applyBorder="1" applyAlignment="1">
      <alignment vertical="top"/>
    </xf>
    <xf numFmtId="0" fontId="9" fillId="0" borderId="4" xfId="0"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 xfId="0" applyFont="1" applyFill="1" applyBorder="1" applyAlignment="1">
      <alignment horizontal="left" vertical="top" wrapText="1"/>
    </xf>
    <xf numFmtId="165" fontId="9" fillId="0" borderId="4" xfId="1" applyNumberFormat="1" applyFont="1" applyFill="1" applyBorder="1" applyAlignment="1">
      <alignment horizontal="right" vertical="top"/>
    </xf>
    <xf numFmtId="0" fontId="9" fillId="0" borderId="0" xfId="0" applyFont="1" applyFill="1" applyBorder="1" applyAlignment="1">
      <alignment horizontal="left" vertical="top"/>
    </xf>
    <xf numFmtId="165" fontId="9" fillId="0" borderId="1" xfId="1" applyNumberFormat="1" applyFont="1" applyFill="1" applyBorder="1" applyAlignment="1">
      <alignment horizontal="center" vertical="top"/>
    </xf>
    <xf numFmtId="0" fontId="9" fillId="0" borderId="1" xfId="0" applyFont="1" applyBorder="1" applyAlignment="1">
      <alignment wrapText="1"/>
    </xf>
    <xf numFmtId="0" fontId="9" fillId="0" borderId="1" xfId="0" applyFont="1" applyBorder="1"/>
    <xf numFmtId="165" fontId="14" fillId="0" borderId="2" xfId="1"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7" fillId="0" borderId="1" xfId="0" applyFont="1" applyFill="1" applyBorder="1" applyAlignment="1">
      <alignment horizontal="center" wrapText="1"/>
    </xf>
    <xf numFmtId="3" fontId="7" fillId="0" borderId="1" xfId="0" applyNumberFormat="1" applyFont="1" applyFill="1" applyBorder="1" applyAlignment="1" applyProtection="1">
      <alignment horizontal="center" wrapText="1"/>
      <protection locked="0"/>
    </xf>
    <xf numFmtId="0" fontId="9" fillId="0"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protection locked="0"/>
    </xf>
    <xf numFmtId="0" fontId="9" fillId="0" borderId="2"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1" fontId="0" fillId="0" borderId="2" xfId="0" applyNumberFormat="1" applyFill="1" applyBorder="1" applyAlignment="1" applyProtection="1">
      <alignment horizontal="center" vertical="top"/>
      <protection locked="0"/>
    </xf>
    <xf numFmtId="0" fontId="15" fillId="0" borderId="2" xfId="0" applyFont="1" applyFill="1" applyBorder="1" applyAlignment="1">
      <alignment horizontal="center" vertical="top"/>
    </xf>
    <xf numFmtId="164" fontId="9" fillId="0" borderId="2" xfId="0" applyNumberFormat="1" applyFont="1" applyFill="1" applyBorder="1" applyAlignment="1">
      <alignment horizontal="center"/>
    </xf>
    <xf numFmtId="164" fontId="11" fillId="0" borderId="0" xfId="0" applyNumberFormat="1" applyFont="1" applyBorder="1" applyAlignment="1">
      <alignment horizontal="center" wrapText="1"/>
    </xf>
    <xf numFmtId="0" fontId="11" fillId="0" borderId="0" xfId="0" applyFont="1" applyBorder="1" applyAlignment="1">
      <alignment wrapText="1"/>
    </xf>
    <xf numFmtId="0" fontId="11" fillId="0" borderId="0" xfId="0" applyFont="1" applyFill="1" applyAlignment="1">
      <alignment horizontal="center" wrapText="1"/>
    </xf>
    <xf numFmtId="0" fontId="10" fillId="0" borderId="0" xfId="0" applyFont="1" applyAlignment="1">
      <alignment wrapText="1"/>
    </xf>
    <xf numFmtId="164" fontId="10" fillId="0" borderId="2" xfId="0" applyNumberFormat="1" applyFont="1" applyFill="1" applyBorder="1" applyAlignment="1">
      <alignment horizontal="center" vertical="top" wrapText="1"/>
    </xf>
    <xf numFmtId="0" fontId="10" fillId="2" borderId="0" xfId="0" applyFont="1" applyFill="1" applyAlignment="1">
      <alignment vertical="top" wrapText="1"/>
    </xf>
    <xf numFmtId="165" fontId="3" fillId="0" borderId="2" xfId="49" applyNumberFormat="1" applyFont="1" applyFill="1" applyBorder="1" applyAlignment="1">
      <alignment horizontal="center" vertical="top" wrapText="1"/>
    </xf>
    <xf numFmtId="0" fontId="10" fillId="0" borderId="2" xfId="49" applyFont="1" applyFill="1" applyBorder="1" applyAlignment="1">
      <alignment horizontal="center" vertical="top" wrapText="1"/>
    </xf>
    <xf numFmtId="0" fontId="3" fillId="0" borderId="2" xfId="49" applyFont="1" applyFill="1" applyBorder="1" applyAlignment="1">
      <alignment horizontal="center" vertical="top" wrapText="1"/>
    </xf>
    <xf numFmtId="0" fontId="10" fillId="0" borderId="0" xfId="0" applyFont="1" applyFill="1" applyAlignment="1">
      <alignment horizontal="left" vertical="top" wrapText="1"/>
    </xf>
    <xf numFmtId="165" fontId="10" fillId="0" borderId="2" xfId="49" applyNumberFormat="1" applyFont="1" applyFill="1" applyBorder="1" applyAlignment="1">
      <alignment horizontal="center" vertical="top" wrapText="1"/>
    </xf>
    <xf numFmtId="0" fontId="10" fillId="0" borderId="4" xfId="0" applyFont="1" applyFill="1" applyBorder="1" applyAlignment="1">
      <alignment horizontal="center" vertical="top" wrapText="1"/>
    </xf>
    <xf numFmtId="165" fontId="10" fillId="0" borderId="4" xfId="0" applyNumberFormat="1" applyFont="1" applyFill="1" applyBorder="1" applyAlignment="1">
      <alignment horizontal="center" vertical="top" wrapText="1"/>
    </xf>
    <xf numFmtId="37" fontId="10" fillId="0" borderId="2"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6" fillId="0" borderId="2" xfId="0" applyFont="1" applyBorder="1" applyAlignment="1">
      <alignment vertical="top" wrapText="1"/>
    </xf>
    <xf numFmtId="1" fontId="10" fillId="0" borderId="2" xfId="0" applyNumberFormat="1" applyFont="1" applyFill="1" applyBorder="1" applyAlignment="1">
      <alignment horizontal="center" vertical="top" wrapText="1"/>
    </xf>
    <xf numFmtId="165" fontId="17" fillId="0" borderId="2" xfId="49" applyNumberFormat="1" applyFont="1" applyFill="1" applyBorder="1" applyAlignment="1">
      <alignment horizontal="center" vertical="top" wrapText="1"/>
    </xf>
    <xf numFmtId="165" fontId="17" fillId="0" borderId="2" xfId="0" applyNumberFormat="1" applyFont="1" applyFill="1" applyBorder="1" applyAlignment="1">
      <alignment horizontal="center" vertical="top" wrapText="1"/>
    </xf>
    <xf numFmtId="165" fontId="10" fillId="0" borderId="0" xfId="0" applyNumberFormat="1" applyFont="1" applyFill="1" applyAlignment="1">
      <alignment horizontal="center" vertical="top"/>
    </xf>
    <xf numFmtId="165" fontId="10" fillId="0" borderId="0" xfId="0" applyNumberFormat="1" applyFont="1" applyFill="1" applyAlignment="1">
      <alignment vertical="top"/>
    </xf>
    <xf numFmtId="0" fontId="9" fillId="0" borderId="2" xfId="0" applyFont="1" applyBorder="1" applyAlignment="1">
      <alignment wrapText="1"/>
    </xf>
    <xf numFmtId="0" fontId="18" fillId="0" borderId="1" xfId="0" applyFont="1" applyBorder="1" applyAlignment="1">
      <alignment wrapText="1"/>
    </xf>
    <xf numFmtId="0" fontId="0" fillId="0" borderId="0" xfId="0" applyFill="1" applyBorder="1"/>
    <xf numFmtId="165" fontId="9" fillId="0" borderId="0" xfId="0" applyNumberFormat="1" applyFont="1" applyFill="1"/>
    <xf numFmtId="165" fontId="9" fillId="0" borderId="0" xfId="0" applyNumberFormat="1" applyFont="1" applyFill="1" applyAlignment="1">
      <alignment horizontal="center"/>
    </xf>
    <xf numFmtId="165" fontId="9" fillId="0" borderId="0" xfId="0" applyNumberFormat="1" applyFont="1" applyFill="1" applyBorder="1" applyAlignment="1">
      <alignment horizontal="center"/>
    </xf>
    <xf numFmtId="0" fontId="0" fillId="0" borderId="0" xfId="0" applyBorder="1" applyAlignment="1"/>
    <xf numFmtId="165" fontId="9" fillId="0" borderId="0" xfId="1" applyNumberFormat="1" applyFont="1" applyFill="1" applyAlignment="1">
      <alignment horizontal="center" vertical="top"/>
    </xf>
    <xf numFmtId="164" fontId="9" fillId="0" borderId="0" xfId="0" applyNumberFormat="1" applyFont="1" applyFill="1" applyAlignment="1">
      <alignment horizontal="center" vertical="top" wrapText="1"/>
    </xf>
    <xf numFmtId="0" fontId="9" fillId="0" borderId="0" xfId="0" applyFont="1" applyBorder="1" applyAlignment="1"/>
    <xf numFmtId="164" fontId="9" fillId="0" borderId="1" xfId="0" applyNumberFormat="1" applyFont="1" applyFill="1" applyBorder="1" applyAlignment="1">
      <alignment horizontal="center" vertical="top" wrapText="1"/>
    </xf>
    <xf numFmtId="0" fontId="9" fillId="0" borderId="1" xfId="0" applyFont="1" applyBorder="1" applyAlignment="1">
      <alignment vertical="top"/>
    </xf>
    <xf numFmtId="0" fontId="10" fillId="0" borderId="2" xfId="0" applyFont="1" applyBorder="1" applyAlignment="1">
      <alignment vertical="top" wrapText="1"/>
    </xf>
    <xf numFmtId="0" fontId="0" fillId="0" borderId="2" xfId="0" applyBorder="1" applyAlignment="1"/>
    <xf numFmtId="0" fontId="3" fillId="0" borderId="2" xfId="0" applyFont="1" applyFill="1" applyBorder="1" applyAlignment="1">
      <alignment horizontal="left" vertical="top" wrapText="1"/>
    </xf>
    <xf numFmtId="165" fontId="19" fillId="0" borderId="2" xfId="49" applyNumberFormat="1" applyFont="1" applyFill="1" applyBorder="1" applyAlignment="1">
      <alignment horizontal="center" vertical="top" wrapText="1"/>
    </xf>
    <xf numFmtId="165" fontId="19" fillId="0" borderId="2" xfId="0" applyNumberFormat="1" applyFont="1" applyFill="1" applyBorder="1" applyAlignment="1">
      <alignment horizontal="center" vertical="top" wrapText="1"/>
    </xf>
    <xf numFmtId="0" fontId="0" fillId="0" borderId="6" xfId="0" applyFill="1" applyBorder="1"/>
    <xf numFmtId="0" fontId="0" fillId="0" borderId="3" xfId="0" applyFill="1" applyBorder="1"/>
    <xf numFmtId="0" fontId="12" fillId="0" borderId="3" xfId="0" applyFont="1" applyFill="1" applyBorder="1"/>
    <xf numFmtId="0" fontId="0" fillId="0" borderId="2" xfId="0" applyFill="1" applyBorder="1"/>
    <xf numFmtId="0" fontId="9" fillId="0" borderId="0" xfId="0" applyFont="1" applyFill="1" applyBorder="1" applyAlignment="1">
      <alignment vertical="center"/>
    </xf>
    <xf numFmtId="165" fontId="9" fillId="0" borderId="3" xfId="1" applyNumberFormat="1" applyFont="1" applyFill="1" applyBorder="1" applyAlignment="1">
      <alignment horizontal="center" vertical="top" wrapText="1"/>
    </xf>
    <xf numFmtId="3" fontId="9" fillId="0" borderId="3" xfId="0" applyNumberFormat="1" applyFont="1" applyFill="1" applyBorder="1" applyAlignment="1">
      <alignment horizontal="center" vertical="top" wrapText="1"/>
    </xf>
    <xf numFmtId="0" fontId="0" fillId="0" borderId="0" xfId="0" applyFill="1" applyAlignment="1">
      <alignment horizontal="center"/>
    </xf>
    <xf numFmtId="44" fontId="9" fillId="0" borderId="0" xfId="0" applyNumberFormat="1" applyFont="1" applyFill="1" applyAlignment="1">
      <alignment horizontal="center" vertical="top"/>
    </xf>
    <xf numFmtId="0" fontId="0" fillId="0" borderId="0" xfId="0" applyFont="1" applyFill="1" applyBorder="1"/>
    <xf numFmtId="0" fontId="7" fillId="0" borderId="6"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9" fillId="0" borderId="0" xfId="0" applyFont="1" applyFill="1" applyBorder="1" applyAlignment="1">
      <alignment vertical="top" wrapText="1"/>
    </xf>
    <xf numFmtId="164" fontId="7" fillId="0" borderId="5" xfId="0" applyNumberFormat="1" applyFont="1" applyFill="1" applyBorder="1" applyAlignment="1">
      <alignment horizontal="center" wrapText="1"/>
    </xf>
    <xf numFmtId="3" fontId="7" fillId="0" borderId="5" xfId="0" applyNumberFormat="1" applyFont="1" applyFill="1" applyBorder="1" applyAlignment="1">
      <alignment horizontal="center" wrapText="1"/>
    </xf>
    <xf numFmtId="0" fontId="9" fillId="0" borderId="5" xfId="0" applyFont="1" applyFill="1" applyBorder="1" applyAlignment="1"/>
    <xf numFmtId="0" fontId="9" fillId="0" borderId="5" xfId="0" applyFont="1" applyFill="1" applyBorder="1"/>
    <xf numFmtId="3" fontId="7" fillId="0" borderId="2" xfId="0" applyNumberFormat="1" applyFont="1" applyFill="1" applyBorder="1" applyAlignment="1">
      <alignment horizontal="center" wrapText="1"/>
    </xf>
    <xf numFmtId="6" fontId="9" fillId="0" borderId="1" xfId="0" applyNumberFormat="1" applyFont="1" applyFill="1" applyBorder="1" applyAlignment="1">
      <alignment horizontal="center" vertical="top" wrapText="1"/>
    </xf>
    <xf numFmtId="164" fontId="9" fillId="0" borderId="1" xfId="1" applyNumberFormat="1" applyFont="1" applyFill="1" applyBorder="1" applyAlignment="1">
      <alignment horizontal="center" vertical="top"/>
    </xf>
    <xf numFmtId="0" fontId="9" fillId="0" borderId="1" xfId="0" applyFont="1" applyFill="1" applyBorder="1" applyAlignment="1" applyProtection="1">
      <alignment horizontal="center" vertical="top"/>
      <protection locked="0"/>
    </xf>
    <xf numFmtId="6" fontId="9" fillId="0" borderId="1" xfId="0" applyNumberFormat="1" applyFont="1" applyFill="1" applyBorder="1" applyAlignment="1">
      <alignment horizontal="center" vertical="top"/>
    </xf>
    <xf numFmtId="0" fontId="0" fillId="0" borderId="1" xfId="0" applyFont="1" applyFill="1" applyBorder="1"/>
    <xf numFmtId="0" fontId="9" fillId="0" borderId="2" xfId="0" applyFont="1" applyBorder="1" applyAlignment="1">
      <alignment horizontal="left" vertical="top" wrapText="1"/>
    </xf>
    <xf numFmtId="0" fontId="9" fillId="0" borderId="0" xfId="0" applyFont="1" applyBorder="1" applyAlignment="1">
      <alignment horizontal="center" vertical="top"/>
    </xf>
    <xf numFmtId="0" fontId="9" fillId="0" borderId="0" xfId="0" applyFont="1" applyAlignment="1">
      <alignment horizontal="center" vertical="top"/>
    </xf>
    <xf numFmtId="0" fontId="7" fillId="0" borderId="3" xfId="0" applyFont="1" applyFill="1" applyBorder="1" applyAlignment="1">
      <alignment horizontal="center" vertical="top" wrapText="1"/>
    </xf>
    <xf numFmtId="0" fontId="9" fillId="0" borderId="2" xfId="0" applyFont="1" applyBorder="1" applyAlignment="1">
      <alignment wrapText="1"/>
    </xf>
    <xf numFmtId="3" fontId="8" fillId="0" borderId="2" xfId="1" applyNumberFormat="1" applyFont="1" applyFill="1" applyBorder="1" applyAlignment="1">
      <alignment horizontal="center" vertical="top" wrapText="1"/>
    </xf>
    <xf numFmtId="0" fontId="10" fillId="0" borderId="0" xfId="0" applyFont="1" applyBorder="1" applyAlignment="1">
      <alignment horizontal="left" vertical="top" wrapText="1"/>
    </xf>
    <xf numFmtId="0" fontId="20" fillId="0" borderId="1" xfId="0" applyFont="1" applyBorder="1"/>
    <xf numFmtId="0" fontId="20" fillId="0" borderId="1" xfId="0" applyFont="1" applyBorder="1" applyAlignment="1">
      <alignment wrapText="1"/>
    </xf>
    <xf numFmtId="0" fontId="9" fillId="0" borderId="2" xfId="0" applyFont="1" applyBorder="1"/>
    <xf numFmtId="0" fontId="9" fillId="0" borderId="1" xfId="0" applyFont="1" applyBorder="1" applyAlignment="1"/>
    <xf numFmtId="0" fontId="20" fillId="0" borderId="2" xfId="0" applyFont="1" applyBorder="1" applyAlignment="1">
      <alignment wrapText="1"/>
    </xf>
    <xf numFmtId="0" fontId="18" fillId="0" borderId="2" xfId="0" applyFont="1" applyBorder="1" applyAlignment="1"/>
    <xf numFmtId="0" fontId="20" fillId="0" borderId="2" xfId="0" applyFont="1" applyFill="1" applyBorder="1" applyAlignment="1">
      <alignment horizontal="center" vertical="top"/>
    </xf>
    <xf numFmtId="0" fontId="20"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3" fontId="20" fillId="0" borderId="2" xfId="0" applyNumberFormat="1" applyFont="1" applyFill="1" applyBorder="1" applyAlignment="1">
      <alignment horizontal="center"/>
    </xf>
    <xf numFmtId="165" fontId="20" fillId="0" borderId="2" xfId="1" applyNumberFormat="1" applyFont="1" applyFill="1" applyBorder="1" applyAlignment="1">
      <alignment horizontal="center"/>
    </xf>
    <xf numFmtId="0" fontId="20" fillId="0" borderId="2" xfId="0" applyFont="1" applyBorder="1"/>
    <xf numFmtId="0" fontId="20" fillId="0" borderId="2" xfId="0" applyFont="1" applyBorder="1" applyAlignment="1">
      <alignment vertical="top" wrapText="1"/>
    </xf>
    <xf numFmtId="0" fontId="20" fillId="0" borderId="1" xfId="0" applyFont="1" applyBorder="1" applyAlignment="1">
      <alignment vertical="top" wrapText="1"/>
    </xf>
    <xf numFmtId="0" fontId="20" fillId="0" borderId="2" xfId="0" applyFont="1" applyBorder="1" applyAlignment="1"/>
    <xf numFmtId="0" fontId="20" fillId="0" borderId="2" xfId="0" applyFont="1" applyFill="1" applyBorder="1" applyAlignment="1">
      <alignment horizontal="center"/>
    </xf>
    <xf numFmtId="0" fontId="20" fillId="0" borderId="2" xfId="0" applyFont="1" applyFill="1" applyBorder="1" applyAlignment="1">
      <alignment horizontal="left" wrapText="1"/>
    </xf>
    <xf numFmtId="0" fontId="20" fillId="0" borderId="2" xfId="0" applyFont="1" applyFill="1" applyBorder="1" applyAlignment="1">
      <alignment horizontal="center" wrapText="1"/>
    </xf>
    <xf numFmtId="165" fontId="20" fillId="0" borderId="2" xfId="1" applyNumberFormat="1" applyFont="1" applyFill="1" applyBorder="1" applyAlignment="1">
      <alignment horizontal="right"/>
    </xf>
    <xf numFmtId="0" fontId="18" fillId="0" borderId="2" xfId="0" applyFont="1" applyBorder="1"/>
    <xf numFmtId="0" fontId="18" fillId="0" borderId="0" xfId="0" applyFont="1" applyBorder="1" applyAlignment="1">
      <alignment wrapText="1"/>
    </xf>
    <xf numFmtId="165" fontId="9" fillId="0" borderId="0" xfId="1" applyNumberFormat="1" applyFont="1" applyFill="1" applyBorder="1" applyAlignment="1">
      <alignment horizontal="right" vertical="top"/>
    </xf>
    <xf numFmtId="0" fontId="0" fillId="0" borderId="2" xfId="0" applyBorder="1"/>
    <xf numFmtId="0" fontId="20" fillId="0" borderId="0" xfId="0" applyFont="1" applyBorder="1" applyAlignment="1"/>
    <xf numFmtId="0" fontId="20" fillId="0" borderId="0" xfId="0" applyFont="1"/>
    <xf numFmtId="0" fontId="20" fillId="0" borderId="0" xfId="0" applyFont="1" applyAlignment="1">
      <alignment wrapText="1"/>
    </xf>
    <xf numFmtId="165" fontId="14" fillId="0" borderId="2" xfId="1" applyNumberFormat="1" applyFont="1" applyFill="1" applyBorder="1" applyAlignment="1">
      <alignment horizontal="center" wrapText="1"/>
    </xf>
    <xf numFmtId="165" fontId="14" fillId="0" borderId="1" xfId="1" applyNumberFormat="1" applyFont="1" applyFill="1" applyBorder="1" applyAlignment="1">
      <alignment horizontal="center" wrapText="1"/>
    </xf>
    <xf numFmtId="0" fontId="14" fillId="0" borderId="0" xfId="0" applyFont="1"/>
    <xf numFmtId="0" fontId="0" fillId="0" borderId="0" xfId="0" applyAlignment="1">
      <alignment horizontal="right"/>
    </xf>
    <xf numFmtId="0" fontId="14" fillId="0" borderId="2" xfId="0" applyFont="1" applyBorder="1" applyAlignment="1">
      <alignment vertical="top" wrapText="1"/>
    </xf>
    <xf numFmtId="0" fontId="14" fillId="0" borderId="0" xfId="0" applyFont="1" applyAlignment="1">
      <alignment wrapText="1"/>
    </xf>
    <xf numFmtId="165" fontId="14" fillId="0" borderId="2"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1" fontId="10" fillId="0" borderId="0" xfId="0" applyNumberFormat="1" applyFont="1" applyFill="1" applyBorder="1" applyAlignment="1">
      <alignment horizontal="center" vertical="top" wrapText="1"/>
    </xf>
    <xf numFmtId="37" fontId="10" fillId="0" borderId="0" xfId="0" applyNumberFormat="1" applyFont="1" applyFill="1" applyBorder="1" applyAlignment="1">
      <alignment horizontal="center"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1" fillId="0" borderId="2" xfId="0" applyFont="1" applyBorder="1" applyAlignment="1">
      <alignment horizontal="center" vertical="top" wrapText="1"/>
    </xf>
    <xf numFmtId="3" fontId="21" fillId="0" borderId="2" xfId="0" applyNumberFormat="1" applyFont="1" applyBorder="1" applyAlignment="1">
      <alignment horizontal="center" vertical="top" wrapText="1"/>
    </xf>
    <xf numFmtId="3" fontId="21" fillId="0" borderId="2" xfId="0" applyNumberFormat="1" applyFont="1" applyFill="1" applyBorder="1" applyAlignment="1">
      <alignment horizontal="center" vertical="top" wrapText="1"/>
    </xf>
    <xf numFmtId="0" fontId="10" fillId="0" borderId="4" xfId="0" applyFont="1" applyBorder="1" applyAlignment="1">
      <alignment vertical="top" wrapText="1"/>
    </xf>
    <xf numFmtId="0" fontId="10" fillId="0" borderId="4" xfId="0" applyFont="1" applyBorder="1" applyAlignment="1">
      <alignment horizontal="center" vertical="top" wrapText="1"/>
    </xf>
    <xf numFmtId="0" fontId="10" fillId="0" borderId="4" xfId="0" applyFont="1" applyBorder="1" applyAlignment="1">
      <alignment horizontal="left" vertical="top" wrapText="1"/>
    </xf>
    <xf numFmtId="164" fontId="10" fillId="0" borderId="4" xfId="0" applyNumberFormat="1" applyFont="1" applyFill="1" applyBorder="1" applyAlignment="1">
      <alignment horizontal="center" vertical="top" wrapText="1"/>
    </xf>
    <xf numFmtId="165" fontId="10" fillId="0" borderId="4" xfId="0" applyNumberFormat="1" applyFont="1" applyBorder="1" applyAlignment="1">
      <alignment horizontal="center" vertical="top" wrapText="1"/>
    </xf>
    <xf numFmtId="3" fontId="10"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wrapText="1"/>
    </xf>
    <xf numFmtId="165" fontId="11" fillId="0" borderId="1" xfId="0" applyNumberFormat="1" applyFont="1" applyFill="1" applyBorder="1" applyAlignment="1">
      <alignment horizontal="center" wrapText="1"/>
    </xf>
    <xf numFmtId="0" fontId="0" fillId="0" borderId="1" xfId="0" applyBorder="1"/>
    <xf numFmtId="0" fontId="3" fillId="0" borderId="2" xfId="0" applyFont="1" applyFill="1" applyBorder="1"/>
    <xf numFmtId="0" fontId="0" fillId="0" borderId="1" xfId="0" applyFill="1" applyBorder="1"/>
    <xf numFmtId="0" fontId="9" fillId="0" borderId="0" xfId="0" applyFont="1" applyFill="1" applyBorder="1" applyAlignment="1"/>
    <xf numFmtId="0" fontId="18" fillId="0" borderId="7" xfId="0" applyFont="1" applyFill="1" applyBorder="1" applyAlignment="1">
      <alignment horizontal="center" wrapText="1"/>
    </xf>
    <xf numFmtId="0" fontId="20" fillId="0" borderId="9" xfId="0" applyFont="1" applyFill="1" applyBorder="1" applyAlignment="1">
      <alignment vertical="top"/>
    </xf>
    <xf numFmtId="0" fontId="20" fillId="0" borderId="9" xfId="0" applyFont="1" applyFill="1" applyBorder="1" applyAlignment="1">
      <alignment horizontal="left" vertical="top" wrapText="1"/>
    </xf>
    <xf numFmtId="0" fontId="20" fillId="0" borderId="9" xfId="0" applyFont="1" applyFill="1" applyBorder="1" applyAlignment="1">
      <alignment vertical="top" wrapText="1"/>
    </xf>
    <xf numFmtId="0" fontId="20" fillId="0" borderId="9" xfId="0" applyFont="1" applyFill="1" applyBorder="1" applyAlignment="1">
      <alignment horizontal="center" vertical="top" wrapText="1"/>
    </xf>
    <xf numFmtId="0" fontId="20" fillId="0" borderId="9" xfId="0" applyFont="1" applyFill="1" applyBorder="1" applyAlignment="1">
      <alignment horizontal="center" vertical="top"/>
    </xf>
    <xf numFmtId="3" fontId="20" fillId="0" borderId="9" xfId="0" applyNumberFormat="1" applyFont="1" applyFill="1" applyBorder="1" applyAlignment="1">
      <alignment horizontal="center"/>
    </xf>
    <xf numFmtId="165" fontId="20" fillId="0" borderId="9" xfId="0" applyNumberFormat="1" applyFont="1" applyFill="1" applyBorder="1" applyAlignment="1">
      <alignment horizontal="center"/>
    </xf>
    <xf numFmtId="37" fontId="20" fillId="0" borderId="9" xfId="1" applyNumberFormat="1" applyFont="1" applyFill="1" applyBorder="1" applyAlignment="1">
      <alignment horizontal="center"/>
    </xf>
    <xf numFmtId="165" fontId="20" fillId="0" borderId="10" xfId="0" applyNumberFormat="1" applyFont="1" applyFill="1" applyBorder="1" applyAlignment="1">
      <alignment horizontal="center"/>
    </xf>
    <xf numFmtId="0" fontId="18" fillId="0" borderId="10" xfId="0" applyFont="1" applyFill="1" applyBorder="1"/>
    <xf numFmtId="165" fontId="7" fillId="0" borderId="7" xfId="0" applyNumberFormat="1" applyFont="1" applyFill="1" applyBorder="1" applyAlignment="1">
      <alignment horizontal="center" wrapText="1"/>
    </xf>
    <xf numFmtId="165" fontId="7" fillId="0" borderId="5" xfId="0" applyNumberFormat="1" applyFont="1" applyFill="1" applyBorder="1" applyAlignment="1">
      <alignment horizontal="center" wrapText="1"/>
    </xf>
    <xf numFmtId="0" fontId="20" fillId="0" borderId="0" xfId="0" applyFont="1" applyFill="1" applyAlignment="1">
      <alignment vertical="top"/>
    </xf>
    <xf numFmtId="0" fontId="20" fillId="0" borderId="0" xfId="0" applyFont="1" applyFill="1" applyBorder="1" applyAlignment="1">
      <alignment vertical="center"/>
    </xf>
    <xf numFmtId="0" fontId="20" fillId="0" borderId="0" xfId="0" applyFont="1" applyFill="1"/>
    <xf numFmtId="0" fontId="9" fillId="0" borderId="1" xfId="0" applyFont="1" applyFill="1" applyBorder="1" applyAlignment="1">
      <alignment horizontal="center" vertical="center"/>
    </xf>
    <xf numFmtId="165" fontId="9" fillId="0" borderId="1" xfId="1" applyNumberFormat="1" applyFont="1" applyFill="1" applyBorder="1" applyAlignment="1">
      <alignment horizontal="right" vertical="center"/>
    </xf>
    <xf numFmtId="0" fontId="9" fillId="0" borderId="1" xfId="0" applyFont="1" applyFill="1" applyBorder="1" applyAlignment="1" applyProtection="1">
      <alignment horizontal="center" vertical="top" wrapText="1"/>
    </xf>
    <xf numFmtId="165" fontId="9" fillId="0" borderId="1" xfId="1" applyNumberFormat="1" applyFont="1" applyFill="1" applyBorder="1" applyAlignment="1">
      <alignment horizontal="right" vertical="top"/>
    </xf>
    <xf numFmtId="0" fontId="20" fillId="0" borderId="9" xfId="0" applyFont="1" applyFill="1" applyBorder="1" applyAlignment="1">
      <alignment wrapText="1"/>
    </xf>
    <xf numFmtId="164" fontId="20" fillId="0" borderId="9" xfId="1" applyNumberFormat="1" applyFont="1" applyFill="1" applyBorder="1" applyAlignment="1">
      <alignment horizontal="center" vertical="top"/>
    </xf>
    <xf numFmtId="0" fontId="20" fillId="0" borderId="9" xfId="0" applyFont="1" applyFill="1" applyBorder="1" applyAlignment="1">
      <alignment horizontal="center"/>
    </xf>
    <xf numFmtId="164" fontId="20" fillId="0" borderId="9" xfId="0" applyNumberFormat="1" applyFont="1" applyFill="1" applyBorder="1" applyAlignment="1">
      <alignment horizontal="center"/>
    </xf>
    <xf numFmtId="0" fontId="20" fillId="0" borderId="9" xfId="0" applyFont="1" applyBorder="1"/>
    <xf numFmtId="0" fontId="18" fillId="0" borderId="9" xfId="0" applyFont="1" applyBorder="1"/>
    <xf numFmtId="0" fontId="9" fillId="0" borderId="4" xfId="0" applyFont="1" applyBorder="1"/>
    <xf numFmtId="0" fontId="0" fillId="0" borderId="4" xfId="0" applyBorder="1"/>
    <xf numFmtId="0" fontId="0" fillId="0" borderId="2" xfId="0" applyFont="1" applyFill="1" applyBorder="1"/>
    <xf numFmtId="0" fontId="9" fillId="0" borderId="2" xfId="0" applyFont="1" applyBorder="1" applyAlignment="1">
      <alignment vertical="center"/>
    </xf>
    <xf numFmtId="0" fontId="20" fillId="0" borderId="9" xfId="0" applyFont="1" applyBorder="1" applyAlignment="1">
      <alignment wrapText="1"/>
    </xf>
    <xf numFmtId="0" fontId="18" fillId="0" borderId="9" xfId="0" applyFont="1" applyBorder="1" applyAlignment="1"/>
    <xf numFmtId="0" fontId="14" fillId="0" borderId="9" xfId="0" applyFont="1" applyFill="1" applyBorder="1" applyAlignment="1">
      <alignment horizontal="center" vertical="top"/>
    </xf>
    <xf numFmtId="0" fontId="14" fillId="0" borderId="9" xfId="0" applyFont="1" applyFill="1" applyBorder="1" applyAlignment="1">
      <alignment horizontal="left" vertical="top" wrapText="1"/>
    </xf>
    <xf numFmtId="0" fontId="14" fillId="0" borderId="9" xfId="0" applyFont="1" applyFill="1" applyBorder="1" applyAlignment="1">
      <alignment horizontal="center" vertical="top" wrapText="1"/>
    </xf>
    <xf numFmtId="0" fontId="14" fillId="0" borderId="9" xfId="0" applyFont="1" applyBorder="1" applyAlignment="1">
      <alignment vertical="top" wrapText="1"/>
    </xf>
    <xf numFmtId="37" fontId="14" fillId="0" borderId="9" xfId="0" applyNumberFormat="1" applyFont="1" applyFill="1" applyBorder="1" applyAlignment="1">
      <alignment horizontal="center" vertical="top"/>
    </xf>
    <xf numFmtId="165" fontId="14" fillId="0" borderId="9" xfId="1" applyNumberFormat="1" applyFont="1" applyFill="1" applyBorder="1" applyAlignment="1">
      <alignment horizontal="center" vertical="top" wrapText="1"/>
    </xf>
    <xf numFmtId="0" fontId="14" fillId="0" borderId="9" xfId="0" applyFont="1" applyBorder="1"/>
    <xf numFmtId="166" fontId="7" fillId="0" borderId="2" xfId="50" applyNumberFormat="1" applyFont="1" applyFill="1" applyBorder="1" applyAlignment="1">
      <alignment horizontal="center" wrapText="1"/>
    </xf>
    <xf numFmtId="166" fontId="20" fillId="0" borderId="9" xfId="50" applyNumberFormat="1" applyFont="1" applyFill="1" applyBorder="1" applyAlignment="1">
      <alignment horizontal="center"/>
    </xf>
    <xf numFmtId="166" fontId="9" fillId="0" borderId="0" xfId="50" applyNumberFormat="1" applyFont="1" applyFill="1" applyBorder="1" applyAlignment="1">
      <alignment horizontal="center"/>
    </xf>
    <xf numFmtId="166" fontId="9" fillId="0" borderId="0" xfId="50" applyNumberFormat="1" applyFont="1" applyFill="1" applyBorder="1" applyAlignment="1">
      <alignment horizontal="center" vertical="center"/>
    </xf>
    <xf numFmtId="166" fontId="9" fillId="0" borderId="0" xfId="50" applyNumberFormat="1" applyFont="1" applyFill="1" applyAlignment="1">
      <alignment horizontal="center" vertical="top"/>
    </xf>
    <xf numFmtId="166" fontId="9" fillId="0" borderId="0" xfId="50" applyNumberFormat="1" applyFont="1" applyFill="1" applyAlignment="1">
      <alignment vertical="top"/>
    </xf>
    <xf numFmtId="166" fontId="7" fillId="0" borderId="5" xfId="50" applyNumberFormat="1" applyFont="1" applyFill="1" applyBorder="1" applyAlignment="1">
      <alignment horizontal="center" wrapText="1"/>
    </xf>
    <xf numFmtId="0" fontId="23" fillId="0" borderId="0" xfId="0" applyFont="1" applyFill="1" applyAlignment="1">
      <alignment vertical="top"/>
    </xf>
    <xf numFmtId="0" fontId="20" fillId="0" borderId="1" xfId="0" applyFont="1" applyFill="1" applyBorder="1" applyAlignment="1">
      <alignment vertical="top" wrapText="1"/>
    </xf>
    <xf numFmtId="0" fontId="9" fillId="0" borderId="5"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6" xfId="0" applyFont="1" applyFill="1" applyBorder="1" applyAlignment="1">
      <alignment horizontal="center" vertical="top"/>
    </xf>
    <xf numFmtId="0" fontId="9" fillId="0" borderId="3" xfId="0" applyFont="1" applyFill="1" applyBorder="1" applyAlignment="1">
      <alignment vertical="top" wrapText="1"/>
    </xf>
    <xf numFmtId="165" fontId="9" fillId="0" borderId="5" xfId="1" applyNumberFormat="1" applyFont="1" applyFill="1" applyBorder="1" applyAlignment="1">
      <alignment horizontal="center" vertical="top"/>
    </xf>
    <xf numFmtId="165" fontId="9" fillId="0" borderId="6" xfId="1" applyNumberFormat="1" applyFont="1" applyFill="1" applyBorder="1" applyAlignment="1">
      <alignment horizontal="center" vertical="top"/>
    </xf>
    <xf numFmtId="0" fontId="2" fillId="0" borderId="3" xfId="0" applyFont="1" applyFill="1" applyBorder="1" applyAlignment="1">
      <alignment horizontal="center"/>
    </xf>
    <xf numFmtId="0" fontId="20" fillId="0" borderId="2" xfId="0" applyFont="1" applyFill="1" applyBorder="1" applyAlignment="1">
      <alignment vertical="top" wrapText="1"/>
    </xf>
    <xf numFmtId="0" fontId="9" fillId="0" borderId="2" xfId="0" applyFont="1" applyFill="1" applyBorder="1" applyAlignment="1">
      <alignment vertical="top"/>
    </xf>
    <xf numFmtId="164" fontId="9" fillId="0" borderId="5" xfId="0" applyNumberFormat="1" applyFont="1" applyFill="1" applyBorder="1" applyAlignment="1">
      <alignment horizontal="center" vertical="top" wrapText="1"/>
    </xf>
    <xf numFmtId="14" fontId="9" fillId="0" borderId="3" xfId="0" applyNumberFormat="1" applyFont="1" applyFill="1" applyBorder="1" applyAlignment="1">
      <alignment horizontal="center" vertical="top" wrapText="1"/>
    </xf>
    <xf numFmtId="0" fontId="20" fillId="0" borderId="5" xfId="0" applyFont="1" applyFill="1" applyBorder="1" applyAlignment="1">
      <alignment vertical="top" wrapText="1"/>
    </xf>
    <xf numFmtId="0" fontId="9" fillId="0" borderId="5" xfId="47" applyFont="1" applyFill="1" applyBorder="1" applyAlignment="1">
      <alignment horizontal="left" vertical="top" wrapText="1"/>
    </xf>
    <xf numFmtId="6" fontId="9" fillId="0" borderId="5"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0" fontId="20" fillId="0" borderId="2" xfId="47" applyFont="1" applyFill="1" applyBorder="1" applyAlignment="1">
      <alignment vertical="top" wrapText="1"/>
    </xf>
    <xf numFmtId="0" fontId="9" fillId="0" borderId="6" xfId="47" applyFont="1" applyFill="1" applyBorder="1" applyAlignment="1">
      <alignment vertical="top" wrapText="1"/>
    </xf>
    <xf numFmtId="0" fontId="9" fillId="0" borderId="5" xfId="47" applyFont="1" applyFill="1" applyBorder="1" applyAlignment="1">
      <alignment horizontal="center" vertical="top" wrapText="1"/>
    </xf>
    <xf numFmtId="0" fontId="9" fillId="0" borderId="6" xfId="47" applyFont="1" applyFill="1" applyBorder="1" applyAlignment="1">
      <alignment horizontal="center" vertical="top" wrapText="1"/>
    </xf>
    <xf numFmtId="164" fontId="9" fillId="0" borderId="5" xfId="47" applyNumberFormat="1" applyFont="1" applyFill="1" applyBorder="1" applyAlignment="1">
      <alignment horizontal="center" vertical="top" wrapText="1"/>
    </xf>
    <xf numFmtId="49" fontId="9" fillId="0" borderId="3" xfId="47" applyNumberFormat="1" applyFont="1" applyFill="1" applyBorder="1" applyAlignment="1">
      <alignment horizontal="center" vertical="top" wrapText="1"/>
    </xf>
    <xf numFmtId="0" fontId="9" fillId="0" borderId="3" xfId="47" applyFont="1" applyFill="1" applyBorder="1" applyAlignment="1">
      <alignment vertical="top" wrapText="1"/>
    </xf>
    <xf numFmtId="0" fontId="9" fillId="0" borderId="2" xfId="47" applyFont="1" applyFill="1" applyBorder="1" applyAlignment="1">
      <alignment horizontal="center" vertical="top" wrapText="1"/>
    </xf>
    <xf numFmtId="0" fontId="9" fillId="0" borderId="3" xfId="47" applyNumberFormat="1" applyFont="1" applyFill="1" applyBorder="1" applyAlignment="1">
      <alignment horizontal="center" vertical="top" wrapText="1"/>
    </xf>
    <xf numFmtId="0" fontId="9" fillId="0" borderId="6" xfId="0" applyFont="1" applyFill="1" applyBorder="1" applyAlignment="1">
      <alignment vertical="top"/>
    </xf>
    <xf numFmtId="0" fontId="20" fillId="0" borderId="2" xfId="0" applyFont="1" applyFill="1" applyBorder="1" applyAlignment="1">
      <alignment vertical="top"/>
    </xf>
    <xf numFmtId="0" fontId="9" fillId="0" borderId="6" xfId="0" applyFont="1" applyFill="1" applyBorder="1" applyAlignment="1">
      <alignment vertical="top" wrapText="1"/>
    </xf>
    <xf numFmtId="8" fontId="9" fillId="0" borderId="5" xfId="0" applyNumberFormat="1" applyFont="1" applyFill="1" applyBorder="1" applyAlignment="1">
      <alignment horizontal="center" vertical="top" wrapText="1"/>
    </xf>
    <xf numFmtId="0" fontId="13" fillId="0" borderId="0" xfId="0" applyFont="1" applyFill="1" applyBorder="1"/>
    <xf numFmtId="165" fontId="12" fillId="0" borderId="5" xfId="1" applyNumberFormat="1" applyFont="1" applyFill="1" applyBorder="1" applyAlignment="1">
      <alignment horizontal="center" vertical="top"/>
    </xf>
    <xf numFmtId="3" fontId="9" fillId="0" borderId="2" xfId="0" applyNumberFormat="1" applyFont="1" applyFill="1" applyBorder="1" applyAlignment="1">
      <alignment horizontal="center" vertical="top"/>
    </xf>
    <xf numFmtId="3" fontId="9" fillId="0" borderId="5" xfId="0" applyNumberFormat="1" applyFont="1" applyFill="1" applyBorder="1" applyAlignment="1">
      <alignment horizontal="center" vertical="top"/>
    </xf>
    <xf numFmtId="165" fontId="12" fillId="0" borderId="3" xfId="1" applyNumberFormat="1" applyFont="1" applyFill="1" applyBorder="1" applyAlignment="1">
      <alignment horizontal="center" vertical="top"/>
    </xf>
    <xf numFmtId="166" fontId="9" fillId="0" borderId="3" xfId="50" applyNumberFormat="1" applyFont="1" applyFill="1" applyBorder="1" applyAlignment="1">
      <alignment horizontal="center" vertical="top"/>
    </xf>
    <xf numFmtId="167" fontId="9" fillId="0" borderId="3" xfId="1" applyNumberFormat="1" applyFont="1" applyFill="1" applyBorder="1" applyAlignment="1">
      <alignment horizontal="center" vertical="top"/>
    </xf>
    <xf numFmtId="0" fontId="9" fillId="0" borderId="3" xfId="1" applyNumberFormat="1" applyFont="1" applyFill="1" applyBorder="1" applyAlignment="1">
      <alignment horizontal="center" vertical="top"/>
    </xf>
    <xf numFmtId="0" fontId="9" fillId="0" borderId="5" xfId="0" applyFont="1" applyFill="1" applyBorder="1" applyAlignment="1">
      <alignment horizontal="center" vertical="top"/>
    </xf>
    <xf numFmtId="3" fontId="9" fillId="0" borderId="2"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12" fillId="0" borderId="3" xfId="1" applyNumberFormat="1" applyFont="1" applyFill="1" applyBorder="1" applyAlignment="1">
      <alignment horizontal="center" vertical="top"/>
    </xf>
    <xf numFmtId="0" fontId="9" fillId="0" borderId="3" xfId="1" applyNumberFormat="1" applyFont="1" applyFill="1" applyBorder="1" applyAlignment="1">
      <alignment horizontal="center" vertical="top" wrapText="1"/>
    </xf>
    <xf numFmtId="0" fontId="20" fillId="0" borderId="2" xfId="0" applyFont="1" applyBorder="1" applyAlignment="1">
      <alignment wrapText="1"/>
    </xf>
    <xf numFmtId="0" fontId="18" fillId="0" borderId="2" xfId="0" applyFont="1" applyBorder="1" applyAlignment="1"/>
    <xf numFmtId="0" fontId="9" fillId="0" borderId="0" xfId="0" applyFont="1" applyBorder="1" applyAlignment="1">
      <alignment horizontal="left" vertical="top" wrapText="1"/>
    </xf>
    <xf numFmtId="0" fontId="8" fillId="0" borderId="0" xfId="0" applyFont="1" applyBorder="1" applyAlignment="1">
      <alignment horizontal="left" vertical="top" wrapText="1"/>
    </xf>
    <xf numFmtId="0" fontId="21" fillId="0" borderId="2" xfId="0" applyFont="1" applyBorder="1" applyAlignment="1">
      <alignment vertical="top" wrapText="1"/>
    </xf>
    <xf numFmtId="0" fontId="11" fillId="0" borderId="2" xfId="0" applyFont="1" applyBorder="1" applyAlignment="1">
      <alignment vertical="top" wrapText="1"/>
    </xf>
    <xf numFmtId="0" fontId="10" fillId="0" borderId="0" xfId="0" applyFont="1" applyBorder="1" applyAlignment="1">
      <alignment horizontal="left" vertical="top" wrapText="1"/>
    </xf>
    <xf numFmtId="0" fontId="20" fillId="0" borderId="8" xfId="0" applyFont="1" applyFill="1" applyBorder="1" applyAlignment="1">
      <alignment wrapText="1"/>
    </xf>
    <xf numFmtId="0" fontId="18" fillId="0" borderId="9" xfId="0" applyFont="1" applyFill="1" applyBorder="1" applyAlignment="1"/>
    <xf numFmtId="0" fontId="20" fillId="0" borderId="9" xfId="0" applyFont="1" applyBorder="1" applyAlignment="1">
      <alignment wrapText="1"/>
    </xf>
    <xf numFmtId="0" fontId="18" fillId="0" borderId="9" xfId="0" applyFont="1" applyBorder="1" applyAlignment="1"/>
  </cellXfs>
  <cellStyles count="51">
    <cellStyle name="Comma" xfId="50" builtinId="3"/>
    <cellStyle name="Currency" xfId="1" builtinId="4"/>
    <cellStyle name="Currency 2" xfId="24" xr:uid="{00000000-0005-0000-0000-000002000000}"/>
    <cellStyle name="Currency 3" xfId="48" xr:uid="{00000000-0005-0000-0000-000003000000}"/>
    <cellStyle name="Normal" xfId="0" builtinId="0"/>
    <cellStyle name="Normal 16" xfId="2" xr:uid="{00000000-0005-0000-0000-000005000000}"/>
    <cellStyle name="Normal 16 2" xfId="25" xr:uid="{00000000-0005-0000-0000-000006000000}"/>
    <cellStyle name="Normal 17" xfId="3" xr:uid="{00000000-0005-0000-0000-000007000000}"/>
    <cellStyle name="Normal 17 2" xfId="26" xr:uid="{00000000-0005-0000-0000-000008000000}"/>
    <cellStyle name="Normal 18" xfId="4" xr:uid="{00000000-0005-0000-0000-000009000000}"/>
    <cellStyle name="Normal 18 2" xfId="27" xr:uid="{00000000-0005-0000-0000-00000A000000}"/>
    <cellStyle name="Normal 2" xfId="5" xr:uid="{00000000-0005-0000-0000-00000B000000}"/>
    <cellStyle name="Normal 2 2" xfId="28" xr:uid="{00000000-0005-0000-0000-00000C000000}"/>
    <cellStyle name="Normal 20" xfId="6" xr:uid="{00000000-0005-0000-0000-00000D000000}"/>
    <cellStyle name="Normal 20 2" xfId="29" xr:uid="{00000000-0005-0000-0000-00000E000000}"/>
    <cellStyle name="Normal 21" xfId="7" xr:uid="{00000000-0005-0000-0000-00000F000000}"/>
    <cellStyle name="Normal 21 2" xfId="30" xr:uid="{00000000-0005-0000-0000-000010000000}"/>
    <cellStyle name="Normal 23" xfId="8" xr:uid="{00000000-0005-0000-0000-000011000000}"/>
    <cellStyle name="Normal 23 2" xfId="31" xr:uid="{00000000-0005-0000-0000-000012000000}"/>
    <cellStyle name="Normal 24" xfId="9" xr:uid="{00000000-0005-0000-0000-000013000000}"/>
    <cellStyle name="Normal 24 2" xfId="32" xr:uid="{00000000-0005-0000-0000-000014000000}"/>
    <cellStyle name="Normal 25" xfId="10" xr:uid="{00000000-0005-0000-0000-000015000000}"/>
    <cellStyle name="Normal 25 2" xfId="33" xr:uid="{00000000-0005-0000-0000-000016000000}"/>
    <cellStyle name="Normal 26" xfId="11" xr:uid="{00000000-0005-0000-0000-000017000000}"/>
    <cellStyle name="Normal 26 2" xfId="34" xr:uid="{00000000-0005-0000-0000-000018000000}"/>
    <cellStyle name="Normal 27" xfId="12" xr:uid="{00000000-0005-0000-0000-000019000000}"/>
    <cellStyle name="Normal 27 2" xfId="35" xr:uid="{00000000-0005-0000-0000-00001A000000}"/>
    <cellStyle name="Normal 28" xfId="13" xr:uid="{00000000-0005-0000-0000-00001B000000}"/>
    <cellStyle name="Normal 28 2" xfId="36" xr:uid="{00000000-0005-0000-0000-00001C000000}"/>
    <cellStyle name="Normal 29" xfId="14" xr:uid="{00000000-0005-0000-0000-00001D000000}"/>
    <cellStyle name="Normal 29 2" xfId="37" xr:uid="{00000000-0005-0000-0000-00001E000000}"/>
    <cellStyle name="Normal 3" xfId="15" xr:uid="{00000000-0005-0000-0000-00001F000000}"/>
    <cellStyle name="Normal 3 2" xfId="38" xr:uid="{00000000-0005-0000-0000-000020000000}"/>
    <cellStyle name="Normal 30" xfId="16" xr:uid="{00000000-0005-0000-0000-000021000000}"/>
    <cellStyle name="Normal 30 2" xfId="39" xr:uid="{00000000-0005-0000-0000-000022000000}"/>
    <cellStyle name="Normal 31" xfId="17" xr:uid="{00000000-0005-0000-0000-000023000000}"/>
    <cellStyle name="Normal 31 2" xfId="40" xr:uid="{00000000-0005-0000-0000-000024000000}"/>
    <cellStyle name="Normal 32" xfId="18" xr:uid="{00000000-0005-0000-0000-000025000000}"/>
    <cellStyle name="Normal 32 2" xfId="41" xr:uid="{00000000-0005-0000-0000-000026000000}"/>
    <cellStyle name="Normal 33" xfId="19" xr:uid="{00000000-0005-0000-0000-000027000000}"/>
    <cellStyle name="Normal 33 2" xfId="42" xr:uid="{00000000-0005-0000-0000-000028000000}"/>
    <cellStyle name="Normal 34" xfId="20" xr:uid="{00000000-0005-0000-0000-000029000000}"/>
    <cellStyle name="Normal 34 2" xfId="43" xr:uid="{00000000-0005-0000-0000-00002A000000}"/>
    <cellStyle name="Normal 35" xfId="21" xr:uid="{00000000-0005-0000-0000-00002B000000}"/>
    <cellStyle name="Normal 35 2" xfId="44" xr:uid="{00000000-0005-0000-0000-00002C000000}"/>
    <cellStyle name="Normal 36" xfId="22" xr:uid="{00000000-0005-0000-0000-00002D000000}"/>
    <cellStyle name="Normal 36 2" xfId="45" xr:uid="{00000000-0005-0000-0000-00002E000000}"/>
    <cellStyle name="Normal 4" xfId="47" xr:uid="{00000000-0005-0000-0000-00002F000000}"/>
    <cellStyle name="Normal 4 2" xfId="49" xr:uid="{00000000-0005-0000-0000-000030000000}"/>
    <cellStyle name="Normal 7" xfId="23" xr:uid="{00000000-0005-0000-0000-000031000000}"/>
    <cellStyle name="Normal 7 2" xfId="46"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20@%20160.00" TargetMode="External"/><Relationship Id="rId2" Type="http://schemas.openxmlformats.org/officeDocument/2006/relationships/hyperlink" Target="mailto:7@%20500.00%20%20%20%20%20%20%20%20%20%20%20%20%20%204%20@%20850.00%20%20%20%20%20%20%20%207%20@%20250.00" TargetMode="External"/><Relationship Id="rId1" Type="http://schemas.openxmlformats.org/officeDocument/2006/relationships/hyperlink" Target="mailto:158@5,000.00%20%20%20%20%20%20%20%201%20@%20275.00"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62"/>
  <sheetViews>
    <sheetView showGridLines="0" showRuler="0" zoomScale="70" zoomScaleNormal="70" workbookViewId="0">
      <selection activeCell="AY23" sqref="AY23"/>
    </sheetView>
  </sheetViews>
  <sheetFormatPr defaultColWidth="9.140625" defaultRowHeight="12.75" x14ac:dyDescent="0.2"/>
  <cols>
    <col min="1" max="1" width="14" style="111" customWidth="1"/>
    <col min="2" max="2" width="0.7109375" style="111" customWidth="1"/>
    <col min="3" max="3" width="17.140625" style="112" customWidth="1"/>
    <col min="4" max="4" width="1.140625" style="111" customWidth="1"/>
    <col min="5" max="5" width="18.28515625" style="113" customWidth="1"/>
    <col min="6" max="6" width="1" style="114" customWidth="1"/>
    <col min="7" max="7" width="22" style="113" customWidth="1"/>
    <col min="8" max="8" width="1" style="114" customWidth="1"/>
    <col min="9" max="9" width="12.7109375" style="24" customWidth="1"/>
    <col min="10" max="10" width="1.28515625" style="21" customWidth="1"/>
    <col min="11" max="11" width="11.42578125" style="24" customWidth="1"/>
    <col min="12" max="12" width="1" style="21" customWidth="1"/>
    <col min="13" max="13" width="16" style="21" customWidth="1"/>
    <col min="14" max="14" width="0.5703125" style="21" customWidth="1"/>
    <col min="15" max="15" width="9.42578125" style="21" bestFit="1" customWidth="1"/>
    <col min="16" max="16" width="10.85546875" style="21" customWidth="1"/>
    <col min="17" max="17" width="10.42578125" style="21" hidden="1" customWidth="1"/>
    <col min="18" max="18" width="0.85546875" style="21" hidden="1" customWidth="1"/>
    <col min="19" max="19" width="14" style="50" hidden="1" customWidth="1"/>
    <col min="20" max="20" width="0.85546875" style="21" hidden="1" customWidth="1"/>
    <col min="21" max="21" width="10.42578125" style="160" hidden="1" customWidth="1"/>
    <col min="22" max="22" width="0.85546875" style="21" hidden="1" customWidth="1"/>
    <col min="23" max="23" width="14" style="70" hidden="1" customWidth="1"/>
    <col min="24" max="24" width="0.85546875" style="21" customWidth="1"/>
    <col min="25" max="25" width="10.42578125" style="160" hidden="1" customWidth="1"/>
    <col min="26" max="26" width="0.85546875" style="160" hidden="1" customWidth="1"/>
    <col min="27" max="27" width="14" style="70" hidden="1" customWidth="1"/>
    <col min="28" max="28" width="0.85546875" style="160" hidden="1" customWidth="1"/>
    <col min="29" max="29" width="10.42578125" style="160" hidden="1" customWidth="1"/>
    <col min="30" max="30" width="0.85546875" style="160" hidden="1" customWidth="1"/>
    <col min="31" max="31" width="14" style="70" hidden="1" customWidth="1"/>
    <col min="32" max="32" width="10.42578125" style="160" hidden="1" customWidth="1"/>
    <col min="33" max="33" width="0.85546875" style="160" hidden="1" customWidth="1"/>
    <col min="34" max="34" width="14" style="70" hidden="1" customWidth="1"/>
    <col min="35" max="35" width="10.42578125" style="160" customWidth="1"/>
    <col min="36" max="36" width="0.85546875" style="160" customWidth="1"/>
    <col min="37" max="37" width="13.28515625" style="70" customWidth="1"/>
    <col min="38" max="38" width="10.42578125" style="160" customWidth="1"/>
    <col min="39" max="39" width="0.85546875" style="160" customWidth="1"/>
    <col min="40" max="40" width="12.7109375" style="70" customWidth="1"/>
    <col min="41" max="41" width="2.140625" style="70" customWidth="1"/>
    <col min="42" max="43" width="12.7109375" style="70" customWidth="1"/>
    <col min="44" max="44" width="1.85546875" style="70" customWidth="1"/>
    <col min="45" max="46" width="12.7109375" style="70" customWidth="1"/>
    <col min="47" max="47" width="2.140625" style="70" customWidth="1"/>
    <col min="48" max="48" width="18.85546875" style="155" customWidth="1"/>
    <col min="49" max="49" width="23" style="21" customWidth="1"/>
    <col min="50" max="50" width="93" style="21" customWidth="1"/>
    <col min="51" max="62" width="9.140625" style="22"/>
    <col min="63" max="276" width="9.140625" style="21"/>
    <col min="277" max="277" width="2.140625" style="21" customWidth="1"/>
    <col min="278" max="278" width="14" style="21" customWidth="1"/>
    <col min="279" max="279" width="0.7109375" style="21" customWidth="1"/>
    <col min="280" max="280" width="17.140625" style="21" customWidth="1"/>
    <col min="281" max="281" width="1.140625" style="21" customWidth="1"/>
    <col min="282" max="282" width="18.28515625" style="21" customWidth="1"/>
    <col min="283" max="283" width="1" style="21" customWidth="1"/>
    <col min="284" max="284" width="27.5703125" style="21" customWidth="1"/>
    <col min="285" max="285" width="1" style="21" customWidth="1"/>
    <col min="286" max="286" width="12.7109375" style="21" customWidth="1"/>
    <col min="287" max="287" width="1.28515625" style="21" customWidth="1"/>
    <col min="288" max="288" width="11.42578125" style="21" customWidth="1"/>
    <col min="289" max="289" width="1" style="21" customWidth="1"/>
    <col min="290" max="290" width="10.42578125" style="21" customWidth="1"/>
    <col min="291" max="291" width="0.85546875" style="21" customWidth="1"/>
    <col min="292" max="292" width="14" style="21" customWidth="1"/>
    <col min="293" max="293" width="0.85546875" style="21" customWidth="1"/>
    <col min="294" max="294" width="10.42578125" style="21" customWidth="1"/>
    <col min="295" max="295" width="0.85546875" style="21" customWidth="1"/>
    <col min="296" max="296" width="14" style="21" customWidth="1"/>
    <col min="297" max="297" width="0.85546875" style="21" customWidth="1"/>
    <col min="298" max="298" width="16" style="21" customWidth="1"/>
    <col min="299" max="299" width="0.5703125" style="21" customWidth="1"/>
    <col min="300" max="300" width="9.42578125" style="21" bestFit="1" customWidth="1"/>
    <col min="301" max="301" width="1.140625" style="21" customWidth="1"/>
    <col min="302" max="532" width="9.140625" style="21"/>
    <col min="533" max="533" width="2.140625" style="21" customWidth="1"/>
    <col min="534" max="534" width="14" style="21" customWidth="1"/>
    <col min="535" max="535" width="0.7109375" style="21" customWidth="1"/>
    <col min="536" max="536" width="17.140625" style="21" customWidth="1"/>
    <col min="537" max="537" width="1.140625" style="21" customWidth="1"/>
    <col min="538" max="538" width="18.28515625" style="21" customWidth="1"/>
    <col min="539" max="539" width="1" style="21" customWidth="1"/>
    <col min="540" max="540" width="27.5703125" style="21" customWidth="1"/>
    <col min="541" max="541" width="1" style="21" customWidth="1"/>
    <col min="542" max="542" width="12.7109375" style="21" customWidth="1"/>
    <col min="543" max="543" width="1.28515625" style="21" customWidth="1"/>
    <col min="544" max="544" width="11.42578125" style="21" customWidth="1"/>
    <col min="545" max="545" width="1" style="21" customWidth="1"/>
    <col min="546" max="546" width="10.42578125" style="21" customWidth="1"/>
    <col min="547" max="547" width="0.85546875" style="21" customWidth="1"/>
    <col min="548" max="548" width="14" style="21" customWidth="1"/>
    <col min="549" max="549" width="0.85546875" style="21" customWidth="1"/>
    <col min="550" max="550" width="10.42578125" style="21" customWidth="1"/>
    <col min="551" max="551" width="0.85546875" style="21" customWidth="1"/>
    <col min="552" max="552" width="14" style="21" customWidth="1"/>
    <col min="553" max="553" width="0.85546875" style="21" customWidth="1"/>
    <col min="554" max="554" width="16" style="21" customWidth="1"/>
    <col min="555" max="555" width="0.5703125" style="21" customWidth="1"/>
    <col min="556" max="556" width="9.42578125" style="21" bestFit="1" customWidth="1"/>
    <col min="557" max="557" width="1.140625" style="21" customWidth="1"/>
    <col min="558" max="788" width="9.140625" style="21"/>
    <col min="789" max="789" width="2.140625" style="21" customWidth="1"/>
    <col min="790" max="790" width="14" style="21" customWidth="1"/>
    <col min="791" max="791" width="0.7109375" style="21" customWidth="1"/>
    <col min="792" max="792" width="17.140625" style="21" customWidth="1"/>
    <col min="793" max="793" width="1.140625" style="21" customWidth="1"/>
    <col min="794" max="794" width="18.28515625" style="21" customWidth="1"/>
    <col min="795" max="795" width="1" style="21" customWidth="1"/>
    <col min="796" max="796" width="27.5703125" style="21" customWidth="1"/>
    <col min="797" max="797" width="1" style="21" customWidth="1"/>
    <col min="798" max="798" width="12.7109375" style="21" customWidth="1"/>
    <col min="799" max="799" width="1.28515625" style="21" customWidth="1"/>
    <col min="800" max="800" width="11.42578125" style="21" customWidth="1"/>
    <col min="801" max="801" width="1" style="21" customWidth="1"/>
    <col min="802" max="802" width="10.42578125" style="21" customWidth="1"/>
    <col min="803" max="803" width="0.85546875" style="21" customWidth="1"/>
    <col min="804" max="804" width="14" style="21" customWidth="1"/>
    <col min="805" max="805" width="0.85546875" style="21" customWidth="1"/>
    <col min="806" max="806" width="10.42578125" style="21" customWidth="1"/>
    <col min="807" max="807" width="0.85546875" style="21" customWidth="1"/>
    <col min="808" max="808" width="14" style="21" customWidth="1"/>
    <col min="809" max="809" width="0.85546875" style="21" customWidth="1"/>
    <col min="810" max="810" width="16" style="21" customWidth="1"/>
    <col min="811" max="811" width="0.5703125" style="21" customWidth="1"/>
    <col min="812" max="812" width="9.42578125" style="21" bestFit="1" customWidth="1"/>
    <col min="813" max="813" width="1.140625" style="21" customWidth="1"/>
    <col min="814" max="1044" width="9.140625" style="21"/>
    <col min="1045" max="1045" width="2.140625" style="21" customWidth="1"/>
    <col min="1046" max="1046" width="14" style="21" customWidth="1"/>
    <col min="1047" max="1047" width="0.7109375" style="21" customWidth="1"/>
    <col min="1048" max="1048" width="17.140625" style="21" customWidth="1"/>
    <col min="1049" max="1049" width="1.140625" style="21" customWidth="1"/>
    <col min="1050" max="1050" width="18.28515625" style="21" customWidth="1"/>
    <col min="1051" max="1051" width="1" style="21" customWidth="1"/>
    <col min="1052" max="1052" width="27.5703125" style="21" customWidth="1"/>
    <col min="1053" max="1053" width="1" style="21" customWidth="1"/>
    <col min="1054" max="1054" width="12.7109375" style="21" customWidth="1"/>
    <col min="1055" max="1055" width="1.28515625" style="21" customWidth="1"/>
    <col min="1056" max="1056" width="11.42578125" style="21" customWidth="1"/>
    <col min="1057" max="1057" width="1" style="21" customWidth="1"/>
    <col min="1058" max="1058" width="10.42578125" style="21" customWidth="1"/>
    <col min="1059" max="1059" width="0.85546875" style="21" customWidth="1"/>
    <col min="1060" max="1060" width="14" style="21" customWidth="1"/>
    <col min="1061" max="1061" width="0.85546875" style="21" customWidth="1"/>
    <col min="1062" max="1062" width="10.42578125" style="21" customWidth="1"/>
    <col min="1063" max="1063" width="0.85546875" style="21" customWidth="1"/>
    <col min="1064" max="1064" width="14" style="21" customWidth="1"/>
    <col min="1065" max="1065" width="0.85546875" style="21" customWidth="1"/>
    <col min="1066" max="1066" width="16" style="21" customWidth="1"/>
    <col min="1067" max="1067" width="0.5703125" style="21" customWidth="1"/>
    <col min="1068" max="1068" width="9.42578125" style="21" bestFit="1" customWidth="1"/>
    <col min="1069" max="1069" width="1.140625" style="21" customWidth="1"/>
    <col min="1070" max="1300" width="9.140625" style="21"/>
    <col min="1301" max="1301" width="2.140625" style="21" customWidth="1"/>
    <col min="1302" max="1302" width="14" style="21" customWidth="1"/>
    <col min="1303" max="1303" width="0.7109375" style="21" customWidth="1"/>
    <col min="1304" max="1304" width="17.140625" style="21" customWidth="1"/>
    <col min="1305" max="1305" width="1.140625" style="21" customWidth="1"/>
    <col min="1306" max="1306" width="18.28515625" style="21" customWidth="1"/>
    <col min="1307" max="1307" width="1" style="21" customWidth="1"/>
    <col min="1308" max="1308" width="27.5703125" style="21" customWidth="1"/>
    <col min="1309" max="1309" width="1" style="21" customWidth="1"/>
    <col min="1310" max="1310" width="12.7109375" style="21" customWidth="1"/>
    <col min="1311" max="1311" width="1.28515625" style="21" customWidth="1"/>
    <col min="1312" max="1312" width="11.42578125" style="21" customWidth="1"/>
    <col min="1313" max="1313" width="1" style="21" customWidth="1"/>
    <col min="1314" max="1314" width="10.42578125" style="21" customWidth="1"/>
    <col min="1315" max="1315" width="0.85546875" style="21" customWidth="1"/>
    <col min="1316" max="1316" width="14" style="21" customWidth="1"/>
    <col min="1317" max="1317" width="0.85546875" style="21" customWidth="1"/>
    <col min="1318" max="1318" width="10.42578125" style="21" customWidth="1"/>
    <col min="1319" max="1319" width="0.85546875" style="21" customWidth="1"/>
    <col min="1320" max="1320" width="14" style="21" customWidth="1"/>
    <col min="1321" max="1321" width="0.85546875" style="21" customWidth="1"/>
    <col min="1322" max="1322" width="16" style="21" customWidth="1"/>
    <col min="1323" max="1323" width="0.5703125" style="21" customWidth="1"/>
    <col min="1324" max="1324" width="9.42578125" style="21" bestFit="1" customWidth="1"/>
    <col min="1325" max="1325" width="1.140625" style="21" customWidth="1"/>
    <col min="1326" max="1556" width="9.140625" style="21"/>
    <col min="1557" max="1557" width="2.140625" style="21" customWidth="1"/>
    <col min="1558" max="1558" width="14" style="21" customWidth="1"/>
    <col min="1559" max="1559" width="0.7109375" style="21" customWidth="1"/>
    <col min="1560" max="1560" width="17.140625" style="21" customWidth="1"/>
    <col min="1561" max="1561" width="1.140625" style="21" customWidth="1"/>
    <col min="1562" max="1562" width="18.28515625" style="21" customWidth="1"/>
    <col min="1563" max="1563" width="1" style="21" customWidth="1"/>
    <col min="1564" max="1564" width="27.5703125" style="21" customWidth="1"/>
    <col min="1565" max="1565" width="1" style="21" customWidth="1"/>
    <col min="1566" max="1566" width="12.7109375" style="21" customWidth="1"/>
    <col min="1567" max="1567" width="1.28515625" style="21" customWidth="1"/>
    <col min="1568" max="1568" width="11.42578125" style="21" customWidth="1"/>
    <col min="1569" max="1569" width="1" style="21" customWidth="1"/>
    <col min="1570" max="1570" width="10.42578125" style="21" customWidth="1"/>
    <col min="1571" max="1571" width="0.85546875" style="21" customWidth="1"/>
    <col min="1572" max="1572" width="14" style="21" customWidth="1"/>
    <col min="1573" max="1573" width="0.85546875" style="21" customWidth="1"/>
    <col min="1574" max="1574" width="10.42578125" style="21" customWidth="1"/>
    <col min="1575" max="1575" width="0.85546875" style="21" customWidth="1"/>
    <col min="1576" max="1576" width="14" style="21" customWidth="1"/>
    <col min="1577" max="1577" width="0.85546875" style="21" customWidth="1"/>
    <col min="1578" max="1578" width="16" style="21" customWidth="1"/>
    <col min="1579" max="1579" width="0.5703125" style="21" customWidth="1"/>
    <col min="1580" max="1580" width="9.42578125" style="21" bestFit="1" customWidth="1"/>
    <col min="1581" max="1581" width="1.140625" style="21" customWidth="1"/>
    <col min="1582" max="1812" width="9.140625" style="21"/>
    <col min="1813" max="1813" width="2.140625" style="21" customWidth="1"/>
    <col min="1814" max="1814" width="14" style="21" customWidth="1"/>
    <col min="1815" max="1815" width="0.7109375" style="21" customWidth="1"/>
    <col min="1816" max="1816" width="17.140625" style="21" customWidth="1"/>
    <col min="1817" max="1817" width="1.140625" style="21" customWidth="1"/>
    <col min="1818" max="1818" width="18.28515625" style="21" customWidth="1"/>
    <col min="1819" max="1819" width="1" style="21" customWidth="1"/>
    <col min="1820" max="1820" width="27.5703125" style="21" customWidth="1"/>
    <col min="1821" max="1821" width="1" style="21" customWidth="1"/>
    <col min="1822" max="1822" width="12.7109375" style="21" customWidth="1"/>
    <col min="1823" max="1823" width="1.28515625" style="21" customWidth="1"/>
    <col min="1824" max="1824" width="11.42578125" style="21" customWidth="1"/>
    <col min="1825" max="1825" width="1" style="21" customWidth="1"/>
    <col min="1826" max="1826" width="10.42578125" style="21" customWidth="1"/>
    <col min="1827" max="1827" width="0.85546875" style="21" customWidth="1"/>
    <col min="1828" max="1828" width="14" style="21" customWidth="1"/>
    <col min="1829" max="1829" width="0.85546875" style="21" customWidth="1"/>
    <col min="1830" max="1830" width="10.42578125" style="21" customWidth="1"/>
    <col min="1831" max="1831" width="0.85546875" style="21" customWidth="1"/>
    <col min="1832" max="1832" width="14" style="21" customWidth="1"/>
    <col min="1833" max="1833" width="0.85546875" style="21" customWidth="1"/>
    <col min="1834" max="1834" width="16" style="21" customWidth="1"/>
    <col min="1835" max="1835" width="0.5703125" style="21" customWidth="1"/>
    <col min="1836" max="1836" width="9.42578125" style="21" bestFit="1" customWidth="1"/>
    <col min="1837" max="1837" width="1.140625" style="21" customWidth="1"/>
    <col min="1838" max="2068" width="9.140625" style="21"/>
    <col min="2069" max="2069" width="2.140625" style="21" customWidth="1"/>
    <col min="2070" max="2070" width="14" style="21" customWidth="1"/>
    <col min="2071" max="2071" width="0.7109375" style="21" customWidth="1"/>
    <col min="2072" max="2072" width="17.140625" style="21" customWidth="1"/>
    <col min="2073" max="2073" width="1.140625" style="21" customWidth="1"/>
    <col min="2074" max="2074" width="18.28515625" style="21" customWidth="1"/>
    <col min="2075" max="2075" width="1" style="21" customWidth="1"/>
    <col min="2076" max="2076" width="27.5703125" style="21" customWidth="1"/>
    <col min="2077" max="2077" width="1" style="21" customWidth="1"/>
    <col min="2078" max="2078" width="12.7109375" style="21" customWidth="1"/>
    <col min="2079" max="2079" width="1.28515625" style="21" customWidth="1"/>
    <col min="2080" max="2080" width="11.42578125" style="21" customWidth="1"/>
    <col min="2081" max="2081" width="1" style="21" customWidth="1"/>
    <col min="2082" max="2082" width="10.42578125" style="21" customWidth="1"/>
    <col min="2083" max="2083" width="0.85546875" style="21" customWidth="1"/>
    <col min="2084" max="2084" width="14" style="21" customWidth="1"/>
    <col min="2085" max="2085" width="0.85546875" style="21" customWidth="1"/>
    <col min="2086" max="2086" width="10.42578125" style="21" customWidth="1"/>
    <col min="2087" max="2087" width="0.85546875" style="21" customWidth="1"/>
    <col min="2088" max="2088" width="14" style="21" customWidth="1"/>
    <col min="2089" max="2089" width="0.85546875" style="21" customWidth="1"/>
    <col min="2090" max="2090" width="16" style="21" customWidth="1"/>
    <col min="2091" max="2091" width="0.5703125" style="21" customWidth="1"/>
    <col min="2092" max="2092" width="9.42578125" style="21" bestFit="1" customWidth="1"/>
    <col min="2093" max="2093" width="1.140625" style="21" customWidth="1"/>
    <col min="2094" max="2324" width="9.140625" style="21"/>
    <col min="2325" max="2325" width="2.140625" style="21" customWidth="1"/>
    <col min="2326" max="2326" width="14" style="21" customWidth="1"/>
    <col min="2327" max="2327" width="0.7109375" style="21" customWidth="1"/>
    <col min="2328" max="2328" width="17.140625" style="21" customWidth="1"/>
    <col min="2329" max="2329" width="1.140625" style="21" customWidth="1"/>
    <col min="2330" max="2330" width="18.28515625" style="21" customWidth="1"/>
    <col min="2331" max="2331" width="1" style="21" customWidth="1"/>
    <col min="2332" max="2332" width="27.5703125" style="21" customWidth="1"/>
    <col min="2333" max="2333" width="1" style="21" customWidth="1"/>
    <col min="2334" max="2334" width="12.7109375" style="21" customWidth="1"/>
    <col min="2335" max="2335" width="1.28515625" style="21" customWidth="1"/>
    <col min="2336" max="2336" width="11.42578125" style="21" customWidth="1"/>
    <col min="2337" max="2337" width="1" style="21" customWidth="1"/>
    <col min="2338" max="2338" width="10.42578125" style="21" customWidth="1"/>
    <col min="2339" max="2339" width="0.85546875" style="21" customWidth="1"/>
    <col min="2340" max="2340" width="14" style="21" customWidth="1"/>
    <col min="2341" max="2341" width="0.85546875" style="21" customWidth="1"/>
    <col min="2342" max="2342" width="10.42578125" style="21" customWidth="1"/>
    <col min="2343" max="2343" width="0.85546875" style="21" customWidth="1"/>
    <col min="2344" max="2344" width="14" style="21" customWidth="1"/>
    <col min="2345" max="2345" width="0.85546875" style="21" customWidth="1"/>
    <col min="2346" max="2346" width="16" style="21" customWidth="1"/>
    <col min="2347" max="2347" width="0.5703125" style="21" customWidth="1"/>
    <col min="2348" max="2348" width="9.42578125" style="21" bestFit="1" customWidth="1"/>
    <col min="2349" max="2349" width="1.140625" style="21" customWidth="1"/>
    <col min="2350" max="2580" width="9.140625" style="21"/>
    <col min="2581" max="2581" width="2.140625" style="21" customWidth="1"/>
    <col min="2582" max="2582" width="14" style="21" customWidth="1"/>
    <col min="2583" max="2583" width="0.7109375" style="21" customWidth="1"/>
    <col min="2584" max="2584" width="17.140625" style="21" customWidth="1"/>
    <col min="2585" max="2585" width="1.140625" style="21" customWidth="1"/>
    <col min="2586" max="2586" width="18.28515625" style="21" customWidth="1"/>
    <col min="2587" max="2587" width="1" style="21" customWidth="1"/>
    <col min="2588" max="2588" width="27.5703125" style="21" customWidth="1"/>
    <col min="2589" max="2589" width="1" style="21" customWidth="1"/>
    <col min="2590" max="2590" width="12.7109375" style="21" customWidth="1"/>
    <col min="2591" max="2591" width="1.28515625" style="21" customWidth="1"/>
    <col min="2592" max="2592" width="11.42578125" style="21" customWidth="1"/>
    <col min="2593" max="2593" width="1" style="21" customWidth="1"/>
    <col min="2594" max="2594" width="10.42578125" style="21" customWidth="1"/>
    <col min="2595" max="2595" width="0.85546875" style="21" customWidth="1"/>
    <col min="2596" max="2596" width="14" style="21" customWidth="1"/>
    <col min="2597" max="2597" width="0.85546875" style="21" customWidth="1"/>
    <col min="2598" max="2598" width="10.42578125" style="21" customWidth="1"/>
    <col min="2599" max="2599" width="0.85546875" style="21" customWidth="1"/>
    <col min="2600" max="2600" width="14" style="21" customWidth="1"/>
    <col min="2601" max="2601" width="0.85546875" style="21" customWidth="1"/>
    <col min="2602" max="2602" width="16" style="21" customWidth="1"/>
    <col min="2603" max="2603" width="0.5703125" style="21" customWidth="1"/>
    <col min="2604" max="2604" width="9.42578125" style="21" bestFit="1" customWidth="1"/>
    <col min="2605" max="2605" width="1.140625" style="21" customWidth="1"/>
    <col min="2606" max="2836" width="9.140625" style="21"/>
    <col min="2837" max="2837" width="2.140625" style="21" customWidth="1"/>
    <col min="2838" max="2838" width="14" style="21" customWidth="1"/>
    <col min="2839" max="2839" width="0.7109375" style="21" customWidth="1"/>
    <col min="2840" max="2840" width="17.140625" style="21" customWidth="1"/>
    <col min="2841" max="2841" width="1.140625" style="21" customWidth="1"/>
    <col min="2842" max="2842" width="18.28515625" style="21" customWidth="1"/>
    <col min="2843" max="2843" width="1" style="21" customWidth="1"/>
    <col min="2844" max="2844" width="27.5703125" style="21" customWidth="1"/>
    <col min="2845" max="2845" width="1" style="21" customWidth="1"/>
    <col min="2846" max="2846" width="12.7109375" style="21" customWidth="1"/>
    <col min="2847" max="2847" width="1.28515625" style="21" customWidth="1"/>
    <col min="2848" max="2848" width="11.42578125" style="21" customWidth="1"/>
    <col min="2849" max="2849" width="1" style="21" customWidth="1"/>
    <col min="2850" max="2850" width="10.42578125" style="21" customWidth="1"/>
    <col min="2851" max="2851" width="0.85546875" style="21" customWidth="1"/>
    <col min="2852" max="2852" width="14" style="21" customWidth="1"/>
    <col min="2853" max="2853" width="0.85546875" style="21" customWidth="1"/>
    <col min="2854" max="2854" width="10.42578125" style="21" customWidth="1"/>
    <col min="2855" max="2855" width="0.85546875" style="21" customWidth="1"/>
    <col min="2856" max="2856" width="14" style="21" customWidth="1"/>
    <col min="2857" max="2857" width="0.85546875" style="21" customWidth="1"/>
    <col min="2858" max="2858" width="16" style="21" customWidth="1"/>
    <col min="2859" max="2859" width="0.5703125" style="21" customWidth="1"/>
    <col min="2860" max="2860" width="9.42578125" style="21" bestFit="1" customWidth="1"/>
    <col min="2861" max="2861" width="1.140625" style="21" customWidth="1"/>
    <col min="2862" max="3092" width="9.140625" style="21"/>
    <col min="3093" max="3093" width="2.140625" style="21" customWidth="1"/>
    <col min="3094" max="3094" width="14" style="21" customWidth="1"/>
    <col min="3095" max="3095" width="0.7109375" style="21" customWidth="1"/>
    <col min="3096" max="3096" width="17.140625" style="21" customWidth="1"/>
    <col min="3097" max="3097" width="1.140625" style="21" customWidth="1"/>
    <col min="3098" max="3098" width="18.28515625" style="21" customWidth="1"/>
    <col min="3099" max="3099" width="1" style="21" customWidth="1"/>
    <col min="3100" max="3100" width="27.5703125" style="21" customWidth="1"/>
    <col min="3101" max="3101" width="1" style="21" customWidth="1"/>
    <col min="3102" max="3102" width="12.7109375" style="21" customWidth="1"/>
    <col min="3103" max="3103" width="1.28515625" style="21" customWidth="1"/>
    <col min="3104" max="3104" width="11.42578125" style="21" customWidth="1"/>
    <col min="3105" max="3105" width="1" style="21" customWidth="1"/>
    <col min="3106" max="3106" width="10.42578125" style="21" customWidth="1"/>
    <col min="3107" max="3107" width="0.85546875" style="21" customWidth="1"/>
    <col min="3108" max="3108" width="14" style="21" customWidth="1"/>
    <col min="3109" max="3109" width="0.85546875" style="21" customWidth="1"/>
    <col min="3110" max="3110" width="10.42578125" style="21" customWidth="1"/>
    <col min="3111" max="3111" width="0.85546875" style="21" customWidth="1"/>
    <col min="3112" max="3112" width="14" style="21" customWidth="1"/>
    <col min="3113" max="3113" width="0.85546875" style="21" customWidth="1"/>
    <col min="3114" max="3114" width="16" style="21" customWidth="1"/>
    <col min="3115" max="3115" width="0.5703125" style="21" customWidth="1"/>
    <col min="3116" max="3116" width="9.42578125" style="21" bestFit="1" customWidth="1"/>
    <col min="3117" max="3117" width="1.140625" style="21" customWidth="1"/>
    <col min="3118" max="3348" width="9.140625" style="21"/>
    <col min="3349" max="3349" width="2.140625" style="21" customWidth="1"/>
    <col min="3350" max="3350" width="14" style="21" customWidth="1"/>
    <col min="3351" max="3351" width="0.7109375" style="21" customWidth="1"/>
    <col min="3352" max="3352" width="17.140625" style="21" customWidth="1"/>
    <col min="3353" max="3353" width="1.140625" style="21" customWidth="1"/>
    <col min="3354" max="3354" width="18.28515625" style="21" customWidth="1"/>
    <col min="3355" max="3355" width="1" style="21" customWidth="1"/>
    <col min="3356" max="3356" width="27.5703125" style="21" customWidth="1"/>
    <col min="3357" max="3357" width="1" style="21" customWidth="1"/>
    <col min="3358" max="3358" width="12.7109375" style="21" customWidth="1"/>
    <col min="3359" max="3359" width="1.28515625" style="21" customWidth="1"/>
    <col min="3360" max="3360" width="11.42578125" style="21" customWidth="1"/>
    <col min="3361" max="3361" width="1" style="21" customWidth="1"/>
    <col min="3362" max="3362" width="10.42578125" style="21" customWidth="1"/>
    <col min="3363" max="3363" width="0.85546875" style="21" customWidth="1"/>
    <col min="3364" max="3364" width="14" style="21" customWidth="1"/>
    <col min="3365" max="3365" width="0.85546875" style="21" customWidth="1"/>
    <col min="3366" max="3366" width="10.42578125" style="21" customWidth="1"/>
    <col min="3367" max="3367" width="0.85546875" style="21" customWidth="1"/>
    <col min="3368" max="3368" width="14" style="21" customWidth="1"/>
    <col min="3369" max="3369" width="0.85546875" style="21" customWidth="1"/>
    <col min="3370" max="3370" width="16" style="21" customWidth="1"/>
    <col min="3371" max="3371" width="0.5703125" style="21" customWidth="1"/>
    <col min="3372" max="3372" width="9.42578125" style="21" bestFit="1" customWidth="1"/>
    <col min="3373" max="3373" width="1.140625" style="21" customWidth="1"/>
    <col min="3374" max="3604" width="9.140625" style="21"/>
    <col min="3605" max="3605" width="2.140625" style="21" customWidth="1"/>
    <col min="3606" max="3606" width="14" style="21" customWidth="1"/>
    <col min="3607" max="3607" width="0.7109375" style="21" customWidth="1"/>
    <col min="3608" max="3608" width="17.140625" style="21" customWidth="1"/>
    <col min="3609" max="3609" width="1.140625" style="21" customWidth="1"/>
    <col min="3610" max="3610" width="18.28515625" style="21" customWidth="1"/>
    <col min="3611" max="3611" width="1" style="21" customWidth="1"/>
    <col min="3612" max="3612" width="27.5703125" style="21" customWidth="1"/>
    <col min="3613" max="3613" width="1" style="21" customWidth="1"/>
    <col min="3614" max="3614" width="12.7109375" style="21" customWidth="1"/>
    <col min="3615" max="3615" width="1.28515625" style="21" customWidth="1"/>
    <col min="3616" max="3616" width="11.42578125" style="21" customWidth="1"/>
    <col min="3617" max="3617" width="1" style="21" customWidth="1"/>
    <col min="3618" max="3618" width="10.42578125" style="21" customWidth="1"/>
    <col min="3619" max="3619" width="0.85546875" style="21" customWidth="1"/>
    <col min="3620" max="3620" width="14" style="21" customWidth="1"/>
    <col min="3621" max="3621" width="0.85546875" style="21" customWidth="1"/>
    <col min="3622" max="3622" width="10.42578125" style="21" customWidth="1"/>
    <col min="3623" max="3623" width="0.85546875" style="21" customWidth="1"/>
    <col min="3624" max="3624" width="14" style="21" customWidth="1"/>
    <col min="3625" max="3625" width="0.85546875" style="21" customWidth="1"/>
    <col min="3626" max="3626" width="16" style="21" customWidth="1"/>
    <col min="3627" max="3627" width="0.5703125" style="21" customWidth="1"/>
    <col min="3628" max="3628" width="9.42578125" style="21" bestFit="1" customWidth="1"/>
    <col min="3629" max="3629" width="1.140625" style="21" customWidth="1"/>
    <col min="3630" max="3860" width="9.140625" style="21"/>
    <col min="3861" max="3861" width="2.140625" style="21" customWidth="1"/>
    <col min="3862" max="3862" width="14" style="21" customWidth="1"/>
    <col min="3863" max="3863" width="0.7109375" style="21" customWidth="1"/>
    <col min="3864" max="3864" width="17.140625" style="21" customWidth="1"/>
    <col min="3865" max="3865" width="1.140625" style="21" customWidth="1"/>
    <col min="3866" max="3866" width="18.28515625" style="21" customWidth="1"/>
    <col min="3867" max="3867" width="1" style="21" customWidth="1"/>
    <col min="3868" max="3868" width="27.5703125" style="21" customWidth="1"/>
    <col min="3869" max="3869" width="1" style="21" customWidth="1"/>
    <col min="3870" max="3870" width="12.7109375" style="21" customWidth="1"/>
    <col min="3871" max="3871" width="1.28515625" style="21" customWidth="1"/>
    <col min="3872" max="3872" width="11.42578125" style="21" customWidth="1"/>
    <col min="3873" max="3873" width="1" style="21" customWidth="1"/>
    <col min="3874" max="3874" width="10.42578125" style="21" customWidth="1"/>
    <col min="3875" max="3875" width="0.85546875" style="21" customWidth="1"/>
    <col min="3876" max="3876" width="14" style="21" customWidth="1"/>
    <col min="3877" max="3877" width="0.85546875" style="21" customWidth="1"/>
    <col min="3878" max="3878" width="10.42578125" style="21" customWidth="1"/>
    <col min="3879" max="3879" width="0.85546875" style="21" customWidth="1"/>
    <col min="3880" max="3880" width="14" style="21" customWidth="1"/>
    <col min="3881" max="3881" width="0.85546875" style="21" customWidth="1"/>
    <col min="3882" max="3882" width="16" style="21" customWidth="1"/>
    <col min="3883" max="3883" width="0.5703125" style="21" customWidth="1"/>
    <col min="3884" max="3884" width="9.42578125" style="21" bestFit="1" customWidth="1"/>
    <col min="3885" max="3885" width="1.140625" style="21" customWidth="1"/>
    <col min="3886" max="4116" width="9.140625" style="21"/>
    <col min="4117" max="4117" width="2.140625" style="21" customWidth="1"/>
    <col min="4118" max="4118" width="14" style="21" customWidth="1"/>
    <col min="4119" max="4119" width="0.7109375" style="21" customWidth="1"/>
    <col min="4120" max="4120" width="17.140625" style="21" customWidth="1"/>
    <col min="4121" max="4121" width="1.140625" style="21" customWidth="1"/>
    <col min="4122" max="4122" width="18.28515625" style="21" customWidth="1"/>
    <col min="4123" max="4123" width="1" style="21" customWidth="1"/>
    <col min="4124" max="4124" width="27.5703125" style="21" customWidth="1"/>
    <col min="4125" max="4125" width="1" style="21" customWidth="1"/>
    <col min="4126" max="4126" width="12.7109375" style="21" customWidth="1"/>
    <col min="4127" max="4127" width="1.28515625" style="21" customWidth="1"/>
    <col min="4128" max="4128" width="11.42578125" style="21" customWidth="1"/>
    <col min="4129" max="4129" width="1" style="21" customWidth="1"/>
    <col min="4130" max="4130" width="10.42578125" style="21" customWidth="1"/>
    <col min="4131" max="4131" width="0.85546875" style="21" customWidth="1"/>
    <col min="4132" max="4132" width="14" style="21" customWidth="1"/>
    <col min="4133" max="4133" width="0.85546875" style="21" customWidth="1"/>
    <col min="4134" max="4134" width="10.42578125" style="21" customWidth="1"/>
    <col min="4135" max="4135" width="0.85546875" style="21" customWidth="1"/>
    <col min="4136" max="4136" width="14" style="21" customWidth="1"/>
    <col min="4137" max="4137" width="0.85546875" style="21" customWidth="1"/>
    <col min="4138" max="4138" width="16" style="21" customWidth="1"/>
    <col min="4139" max="4139" width="0.5703125" style="21" customWidth="1"/>
    <col min="4140" max="4140" width="9.42578125" style="21" bestFit="1" customWidth="1"/>
    <col min="4141" max="4141" width="1.140625" style="21" customWidth="1"/>
    <col min="4142" max="4372" width="9.140625" style="21"/>
    <col min="4373" max="4373" width="2.140625" style="21" customWidth="1"/>
    <col min="4374" max="4374" width="14" style="21" customWidth="1"/>
    <col min="4375" max="4375" width="0.7109375" style="21" customWidth="1"/>
    <col min="4376" max="4376" width="17.140625" style="21" customWidth="1"/>
    <col min="4377" max="4377" width="1.140625" style="21" customWidth="1"/>
    <col min="4378" max="4378" width="18.28515625" style="21" customWidth="1"/>
    <col min="4379" max="4379" width="1" style="21" customWidth="1"/>
    <col min="4380" max="4380" width="27.5703125" style="21" customWidth="1"/>
    <col min="4381" max="4381" width="1" style="21" customWidth="1"/>
    <col min="4382" max="4382" width="12.7109375" style="21" customWidth="1"/>
    <col min="4383" max="4383" width="1.28515625" style="21" customWidth="1"/>
    <col min="4384" max="4384" width="11.42578125" style="21" customWidth="1"/>
    <col min="4385" max="4385" width="1" style="21" customWidth="1"/>
    <col min="4386" max="4386" width="10.42578125" style="21" customWidth="1"/>
    <col min="4387" max="4387" width="0.85546875" style="21" customWidth="1"/>
    <col min="4388" max="4388" width="14" style="21" customWidth="1"/>
    <col min="4389" max="4389" width="0.85546875" style="21" customWidth="1"/>
    <col min="4390" max="4390" width="10.42578125" style="21" customWidth="1"/>
    <col min="4391" max="4391" width="0.85546875" style="21" customWidth="1"/>
    <col min="4392" max="4392" width="14" style="21" customWidth="1"/>
    <col min="4393" max="4393" width="0.85546875" style="21" customWidth="1"/>
    <col min="4394" max="4394" width="16" style="21" customWidth="1"/>
    <col min="4395" max="4395" width="0.5703125" style="21" customWidth="1"/>
    <col min="4396" max="4396" width="9.42578125" style="21" bestFit="1" customWidth="1"/>
    <col min="4397" max="4397" width="1.140625" style="21" customWidth="1"/>
    <col min="4398" max="4628" width="9.140625" style="21"/>
    <col min="4629" max="4629" width="2.140625" style="21" customWidth="1"/>
    <col min="4630" max="4630" width="14" style="21" customWidth="1"/>
    <col min="4631" max="4631" width="0.7109375" style="21" customWidth="1"/>
    <col min="4632" max="4632" width="17.140625" style="21" customWidth="1"/>
    <col min="4633" max="4633" width="1.140625" style="21" customWidth="1"/>
    <col min="4634" max="4634" width="18.28515625" style="21" customWidth="1"/>
    <col min="4635" max="4635" width="1" style="21" customWidth="1"/>
    <col min="4636" max="4636" width="27.5703125" style="21" customWidth="1"/>
    <col min="4637" max="4637" width="1" style="21" customWidth="1"/>
    <col min="4638" max="4638" width="12.7109375" style="21" customWidth="1"/>
    <col min="4639" max="4639" width="1.28515625" style="21" customWidth="1"/>
    <col min="4640" max="4640" width="11.42578125" style="21" customWidth="1"/>
    <col min="4641" max="4641" width="1" style="21" customWidth="1"/>
    <col min="4642" max="4642" width="10.42578125" style="21" customWidth="1"/>
    <col min="4643" max="4643" width="0.85546875" style="21" customWidth="1"/>
    <col min="4644" max="4644" width="14" style="21" customWidth="1"/>
    <col min="4645" max="4645" width="0.85546875" style="21" customWidth="1"/>
    <col min="4646" max="4646" width="10.42578125" style="21" customWidth="1"/>
    <col min="4647" max="4647" width="0.85546875" style="21" customWidth="1"/>
    <col min="4648" max="4648" width="14" style="21" customWidth="1"/>
    <col min="4649" max="4649" width="0.85546875" style="21" customWidth="1"/>
    <col min="4650" max="4650" width="16" style="21" customWidth="1"/>
    <col min="4651" max="4651" width="0.5703125" style="21" customWidth="1"/>
    <col min="4652" max="4652" width="9.42578125" style="21" bestFit="1" customWidth="1"/>
    <col min="4653" max="4653" width="1.140625" style="21" customWidth="1"/>
    <col min="4654" max="4884" width="9.140625" style="21"/>
    <col min="4885" max="4885" width="2.140625" style="21" customWidth="1"/>
    <col min="4886" max="4886" width="14" style="21" customWidth="1"/>
    <col min="4887" max="4887" width="0.7109375" style="21" customWidth="1"/>
    <col min="4888" max="4888" width="17.140625" style="21" customWidth="1"/>
    <col min="4889" max="4889" width="1.140625" style="21" customWidth="1"/>
    <col min="4890" max="4890" width="18.28515625" style="21" customWidth="1"/>
    <col min="4891" max="4891" width="1" style="21" customWidth="1"/>
    <col min="4892" max="4892" width="27.5703125" style="21" customWidth="1"/>
    <col min="4893" max="4893" width="1" style="21" customWidth="1"/>
    <col min="4894" max="4894" width="12.7109375" style="21" customWidth="1"/>
    <col min="4895" max="4895" width="1.28515625" style="21" customWidth="1"/>
    <col min="4896" max="4896" width="11.42578125" style="21" customWidth="1"/>
    <col min="4897" max="4897" width="1" style="21" customWidth="1"/>
    <col min="4898" max="4898" width="10.42578125" style="21" customWidth="1"/>
    <col min="4899" max="4899" width="0.85546875" style="21" customWidth="1"/>
    <col min="4900" max="4900" width="14" style="21" customWidth="1"/>
    <col min="4901" max="4901" width="0.85546875" style="21" customWidth="1"/>
    <col min="4902" max="4902" width="10.42578125" style="21" customWidth="1"/>
    <col min="4903" max="4903" width="0.85546875" style="21" customWidth="1"/>
    <col min="4904" max="4904" width="14" style="21" customWidth="1"/>
    <col min="4905" max="4905" width="0.85546875" style="21" customWidth="1"/>
    <col min="4906" max="4906" width="16" style="21" customWidth="1"/>
    <col min="4907" max="4907" width="0.5703125" style="21" customWidth="1"/>
    <col min="4908" max="4908" width="9.42578125" style="21" bestFit="1" customWidth="1"/>
    <col min="4909" max="4909" width="1.140625" style="21" customWidth="1"/>
    <col min="4910" max="5140" width="9.140625" style="21"/>
    <col min="5141" max="5141" width="2.140625" style="21" customWidth="1"/>
    <col min="5142" max="5142" width="14" style="21" customWidth="1"/>
    <col min="5143" max="5143" width="0.7109375" style="21" customWidth="1"/>
    <col min="5144" max="5144" width="17.140625" style="21" customWidth="1"/>
    <col min="5145" max="5145" width="1.140625" style="21" customWidth="1"/>
    <col min="5146" max="5146" width="18.28515625" style="21" customWidth="1"/>
    <col min="5147" max="5147" width="1" style="21" customWidth="1"/>
    <col min="5148" max="5148" width="27.5703125" style="21" customWidth="1"/>
    <col min="5149" max="5149" width="1" style="21" customWidth="1"/>
    <col min="5150" max="5150" width="12.7109375" style="21" customWidth="1"/>
    <col min="5151" max="5151" width="1.28515625" style="21" customWidth="1"/>
    <col min="5152" max="5152" width="11.42578125" style="21" customWidth="1"/>
    <col min="5153" max="5153" width="1" style="21" customWidth="1"/>
    <col min="5154" max="5154" width="10.42578125" style="21" customWidth="1"/>
    <col min="5155" max="5155" width="0.85546875" style="21" customWidth="1"/>
    <col min="5156" max="5156" width="14" style="21" customWidth="1"/>
    <col min="5157" max="5157" width="0.85546875" style="21" customWidth="1"/>
    <col min="5158" max="5158" width="10.42578125" style="21" customWidth="1"/>
    <col min="5159" max="5159" width="0.85546875" style="21" customWidth="1"/>
    <col min="5160" max="5160" width="14" style="21" customWidth="1"/>
    <col min="5161" max="5161" width="0.85546875" style="21" customWidth="1"/>
    <col min="5162" max="5162" width="16" style="21" customWidth="1"/>
    <col min="5163" max="5163" width="0.5703125" style="21" customWidth="1"/>
    <col min="5164" max="5164" width="9.42578125" style="21" bestFit="1" customWidth="1"/>
    <col min="5165" max="5165" width="1.140625" style="21" customWidth="1"/>
    <col min="5166" max="5396" width="9.140625" style="21"/>
    <col min="5397" max="5397" width="2.140625" style="21" customWidth="1"/>
    <col min="5398" max="5398" width="14" style="21" customWidth="1"/>
    <col min="5399" max="5399" width="0.7109375" style="21" customWidth="1"/>
    <col min="5400" max="5400" width="17.140625" style="21" customWidth="1"/>
    <col min="5401" max="5401" width="1.140625" style="21" customWidth="1"/>
    <col min="5402" max="5402" width="18.28515625" style="21" customWidth="1"/>
    <col min="5403" max="5403" width="1" style="21" customWidth="1"/>
    <col min="5404" max="5404" width="27.5703125" style="21" customWidth="1"/>
    <col min="5405" max="5405" width="1" style="21" customWidth="1"/>
    <col min="5406" max="5406" width="12.7109375" style="21" customWidth="1"/>
    <col min="5407" max="5407" width="1.28515625" style="21" customWidth="1"/>
    <col min="5408" max="5408" width="11.42578125" style="21" customWidth="1"/>
    <col min="5409" max="5409" width="1" style="21" customWidth="1"/>
    <col min="5410" max="5410" width="10.42578125" style="21" customWidth="1"/>
    <col min="5411" max="5411" width="0.85546875" style="21" customWidth="1"/>
    <col min="5412" max="5412" width="14" style="21" customWidth="1"/>
    <col min="5413" max="5413" width="0.85546875" style="21" customWidth="1"/>
    <col min="5414" max="5414" width="10.42578125" style="21" customWidth="1"/>
    <col min="5415" max="5415" width="0.85546875" style="21" customWidth="1"/>
    <col min="5416" max="5416" width="14" style="21" customWidth="1"/>
    <col min="5417" max="5417" width="0.85546875" style="21" customWidth="1"/>
    <col min="5418" max="5418" width="16" style="21" customWidth="1"/>
    <col min="5419" max="5419" width="0.5703125" style="21" customWidth="1"/>
    <col min="5420" max="5420" width="9.42578125" style="21" bestFit="1" customWidth="1"/>
    <col min="5421" max="5421" width="1.140625" style="21" customWidth="1"/>
    <col min="5422" max="5652" width="9.140625" style="21"/>
    <col min="5653" max="5653" width="2.140625" style="21" customWidth="1"/>
    <col min="5654" max="5654" width="14" style="21" customWidth="1"/>
    <col min="5655" max="5655" width="0.7109375" style="21" customWidth="1"/>
    <col min="5656" max="5656" width="17.140625" style="21" customWidth="1"/>
    <col min="5657" max="5657" width="1.140625" style="21" customWidth="1"/>
    <col min="5658" max="5658" width="18.28515625" style="21" customWidth="1"/>
    <col min="5659" max="5659" width="1" style="21" customWidth="1"/>
    <col min="5660" max="5660" width="27.5703125" style="21" customWidth="1"/>
    <col min="5661" max="5661" width="1" style="21" customWidth="1"/>
    <col min="5662" max="5662" width="12.7109375" style="21" customWidth="1"/>
    <col min="5663" max="5663" width="1.28515625" style="21" customWidth="1"/>
    <col min="5664" max="5664" width="11.42578125" style="21" customWidth="1"/>
    <col min="5665" max="5665" width="1" style="21" customWidth="1"/>
    <col min="5666" max="5666" width="10.42578125" style="21" customWidth="1"/>
    <col min="5667" max="5667" width="0.85546875" style="21" customWidth="1"/>
    <col min="5668" max="5668" width="14" style="21" customWidth="1"/>
    <col min="5669" max="5669" width="0.85546875" style="21" customWidth="1"/>
    <col min="5670" max="5670" width="10.42578125" style="21" customWidth="1"/>
    <col min="5671" max="5671" width="0.85546875" style="21" customWidth="1"/>
    <col min="5672" max="5672" width="14" style="21" customWidth="1"/>
    <col min="5673" max="5673" width="0.85546875" style="21" customWidth="1"/>
    <col min="5674" max="5674" width="16" style="21" customWidth="1"/>
    <col min="5675" max="5675" width="0.5703125" style="21" customWidth="1"/>
    <col min="5676" max="5676" width="9.42578125" style="21" bestFit="1" customWidth="1"/>
    <col min="5677" max="5677" width="1.140625" style="21" customWidth="1"/>
    <col min="5678" max="5908" width="9.140625" style="21"/>
    <col min="5909" max="5909" width="2.140625" style="21" customWidth="1"/>
    <col min="5910" max="5910" width="14" style="21" customWidth="1"/>
    <col min="5911" max="5911" width="0.7109375" style="21" customWidth="1"/>
    <col min="5912" max="5912" width="17.140625" style="21" customWidth="1"/>
    <col min="5913" max="5913" width="1.140625" style="21" customWidth="1"/>
    <col min="5914" max="5914" width="18.28515625" style="21" customWidth="1"/>
    <col min="5915" max="5915" width="1" style="21" customWidth="1"/>
    <col min="5916" max="5916" width="27.5703125" style="21" customWidth="1"/>
    <col min="5917" max="5917" width="1" style="21" customWidth="1"/>
    <col min="5918" max="5918" width="12.7109375" style="21" customWidth="1"/>
    <col min="5919" max="5919" width="1.28515625" style="21" customWidth="1"/>
    <col min="5920" max="5920" width="11.42578125" style="21" customWidth="1"/>
    <col min="5921" max="5921" width="1" style="21" customWidth="1"/>
    <col min="5922" max="5922" width="10.42578125" style="21" customWidth="1"/>
    <col min="5923" max="5923" width="0.85546875" style="21" customWidth="1"/>
    <col min="5924" max="5924" width="14" style="21" customWidth="1"/>
    <col min="5925" max="5925" width="0.85546875" style="21" customWidth="1"/>
    <col min="5926" max="5926" width="10.42578125" style="21" customWidth="1"/>
    <col min="5927" max="5927" width="0.85546875" style="21" customWidth="1"/>
    <col min="5928" max="5928" width="14" style="21" customWidth="1"/>
    <col min="5929" max="5929" width="0.85546875" style="21" customWidth="1"/>
    <col min="5930" max="5930" width="16" style="21" customWidth="1"/>
    <col min="5931" max="5931" width="0.5703125" style="21" customWidth="1"/>
    <col min="5932" max="5932" width="9.42578125" style="21" bestFit="1" customWidth="1"/>
    <col min="5933" max="5933" width="1.140625" style="21" customWidth="1"/>
    <col min="5934" max="6164" width="9.140625" style="21"/>
    <col min="6165" max="6165" width="2.140625" style="21" customWidth="1"/>
    <col min="6166" max="6166" width="14" style="21" customWidth="1"/>
    <col min="6167" max="6167" width="0.7109375" style="21" customWidth="1"/>
    <col min="6168" max="6168" width="17.140625" style="21" customWidth="1"/>
    <col min="6169" max="6169" width="1.140625" style="21" customWidth="1"/>
    <col min="6170" max="6170" width="18.28515625" style="21" customWidth="1"/>
    <col min="6171" max="6171" width="1" style="21" customWidth="1"/>
    <col min="6172" max="6172" width="27.5703125" style="21" customWidth="1"/>
    <col min="6173" max="6173" width="1" style="21" customWidth="1"/>
    <col min="6174" max="6174" width="12.7109375" style="21" customWidth="1"/>
    <col min="6175" max="6175" width="1.28515625" style="21" customWidth="1"/>
    <col min="6176" max="6176" width="11.42578125" style="21" customWidth="1"/>
    <col min="6177" max="6177" width="1" style="21" customWidth="1"/>
    <col min="6178" max="6178" width="10.42578125" style="21" customWidth="1"/>
    <col min="6179" max="6179" width="0.85546875" style="21" customWidth="1"/>
    <col min="6180" max="6180" width="14" style="21" customWidth="1"/>
    <col min="6181" max="6181" width="0.85546875" style="21" customWidth="1"/>
    <col min="6182" max="6182" width="10.42578125" style="21" customWidth="1"/>
    <col min="6183" max="6183" width="0.85546875" style="21" customWidth="1"/>
    <col min="6184" max="6184" width="14" style="21" customWidth="1"/>
    <col min="6185" max="6185" width="0.85546875" style="21" customWidth="1"/>
    <col min="6186" max="6186" width="16" style="21" customWidth="1"/>
    <col min="6187" max="6187" width="0.5703125" style="21" customWidth="1"/>
    <col min="6188" max="6188" width="9.42578125" style="21" bestFit="1" customWidth="1"/>
    <col min="6189" max="6189" width="1.140625" style="21" customWidth="1"/>
    <col min="6190" max="6420" width="9.140625" style="21"/>
    <col min="6421" max="6421" width="2.140625" style="21" customWidth="1"/>
    <col min="6422" max="6422" width="14" style="21" customWidth="1"/>
    <col min="6423" max="6423" width="0.7109375" style="21" customWidth="1"/>
    <col min="6424" max="6424" width="17.140625" style="21" customWidth="1"/>
    <col min="6425" max="6425" width="1.140625" style="21" customWidth="1"/>
    <col min="6426" max="6426" width="18.28515625" style="21" customWidth="1"/>
    <col min="6427" max="6427" width="1" style="21" customWidth="1"/>
    <col min="6428" max="6428" width="27.5703125" style="21" customWidth="1"/>
    <col min="6429" max="6429" width="1" style="21" customWidth="1"/>
    <col min="6430" max="6430" width="12.7109375" style="21" customWidth="1"/>
    <col min="6431" max="6431" width="1.28515625" style="21" customWidth="1"/>
    <col min="6432" max="6432" width="11.42578125" style="21" customWidth="1"/>
    <col min="6433" max="6433" width="1" style="21" customWidth="1"/>
    <col min="6434" max="6434" width="10.42578125" style="21" customWidth="1"/>
    <col min="6435" max="6435" width="0.85546875" style="21" customWidth="1"/>
    <col min="6436" max="6436" width="14" style="21" customWidth="1"/>
    <col min="6437" max="6437" width="0.85546875" style="21" customWidth="1"/>
    <col min="6438" max="6438" width="10.42578125" style="21" customWidth="1"/>
    <col min="6439" max="6439" width="0.85546875" style="21" customWidth="1"/>
    <col min="6440" max="6440" width="14" style="21" customWidth="1"/>
    <col min="6441" max="6441" width="0.85546875" style="21" customWidth="1"/>
    <col min="6442" max="6442" width="16" style="21" customWidth="1"/>
    <col min="6443" max="6443" width="0.5703125" style="21" customWidth="1"/>
    <col min="6444" max="6444" width="9.42578125" style="21" bestFit="1" customWidth="1"/>
    <col min="6445" max="6445" width="1.140625" style="21" customWidth="1"/>
    <col min="6446" max="6676" width="9.140625" style="21"/>
    <col min="6677" max="6677" width="2.140625" style="21" customWidth="1"/>
    <col min="6678" max="6678" width="14" style="21" customWidth="1"/>
    <col min="6679" max="6679" width="0.7109375" style="21" customWidth="1"/>
    <col min="6680" max="6680" width="17.140625" style="21" customWidth="1"/>
    <col min="6681" max="6681" width="1.140625" style="21" customWidth="1"/>
    <col min="6682" max="6682" width="18.28515625" style="21" customWidth="1"/>
    <col min="6683" max="6683" width="1" style="21" customWidth="1"/>
    <col min="6684" max="6684" width="27.5703125" style="21" customWidth="1"/>
    <col min="6685" max="6685" width="1" style="21" customWidth="1"/>
    <col min="6686" max="6686" width="12.7109375" style="21" customWidth="1"/>
    <col min="6687" max="6687" width="1.28515625" style="21" customWidth="1"/>
    <col min="6688" max="6688" width="11.42578125" style="21" customWidth="1"/>
    <col min="6689" max="6689" width="1" style="21" customWidth="1"/>
    <col min="6690" max="6690" width="10.42578125" style="21" customWidth="1"/>
    <col min="6691" max="6691" width="0.85546875" style="21" customWidth="1"/>
    <col min="6692" max="6692" width="14" style="21" customWidth="1"/>
    <col min="6693" max="6693" width="0.85546875" style="21" customWidth="1"/>
    <col min="6694" max="6694" width="10.42578125" style="21" customWidth="1"/>
    <col min="6695" max="6695" width="0.85546875" style="21" customWidth="1"/>
    <col min="6696" max="6696" width="14" style="21" customWidth="1"/>
    <col min="6697" max="6697" width="0.85546875" style="21" customWidth="1"/>
    <col min="6698" max="6698" width="16" style="21" customWidth="1"/>
    <col min="6699" max="6699" width="0.5703125" style="21" customWidth="1"/>
    <col min="6700" max="6700" width="9.42578125" style="21" bestFit="1" customWidth="1"/>
    <col min="6701" max="6701" width="1.140625" style="21" customWidth="1"/>
    <col min="6702" max="6932" width="9.140625" style="21"/>
    <col min="6933" max="6933" width="2.140625" style="21" customWidth="1"/>
    <col min="6934" max="6934" width="14" style="21" customWidth="1"/>
    <col min="6935" max="6935" width="0.7109375" style="21" customWidth="1"/>
    <col min="6936" max="6936" width="17.140625" style="21" customWidth="1"/>
    <col min="6937" max="6937" width="1.140625" style="21" customWidth="1"/>
    <col min="6938" max="6938" width="18.28515625" style="21" customWidth="1"/>
    <col min="6939" max="6939" width="1" style="21" customWidth="1"/>
    <col min="6940" max="6940" width="27.5703125" style="21" customWidth="1"/>
    <col min="6941" max="6941" width="1" style="21" customWidth="1"/>
    <col min="6942" max="6942" width="12.7109375" style="21" customWidth="1"/>
    <col min="6943" max="6943" width="1.28515625" style="21" customWidth="1"/>
    <col min="6944" max="6944" width="11.42578125" style="21" customWidth="1"/>
    <col min="6945" max="6945" width="1" style="21" customWidth="1"/>
    <col min="6946" max="6946" width="10.42578125" style="21" customWidth="1"/>
    <col min="6947" max="6947" width="0.85546875" style="21" customWidth="1"/>
    <col min="6948" max="6948" width="14" style="21" customWidth="1"/>
    <col min="6949" max="6949" width="0.85546875" style="21" customWidth="1"/>
    <col min="6950" max="6950" width="10.42578125" style="21" customWidth="1"/>
    <col min="6951" max="6951" width="0.85546875" style="21" customWidth="1"/>
    <col min="6952" max="6952" width="14" style="21" customWidth="1"/>
    <col min="6953" max="6953" width="0.85546875" style="21" customWidth="1"/>
    <col min="6954" max="6954" width="16" style="21" customWidth="1"/>
    <col min="6955" max="6955" width="0.5703125" style="21" customWidth="1"/>
    <col min="6956" max="6956" width="9.42578125" style="21" bestFit="1" customWidth="1"/>
    <col min="6957" max="6957" width="1.140625" style="21" customWidth="1"/>
    <col min="6958" max="7188" width="9.140625" style="21"/>
    <col min="7189" max="7189" width="2.140625" style="21" customWidth="1"/>
    <col min="7190" max="7190" width="14" style="21" customWidth="1"/>
    <col min="7191" max="7191" width="0.7109375" style="21" customWidth="1"/>
    <col min="7192" max="7192" width="17.140625" style="21" customWidth="1"/>
    <col min="7193" max="7193" width="1.140625" style="21" customWidth="1"/>
    <col min="7194" max="7194" width="18.28515625" style="21" customWidth="1"/>
    <col min="7195" max="7195" width="1" style="21" customWidth="1"/>
    <col min="7196" max="7196" width="27.5703125" style="21" customWidth="1"/>
    <col min="7197" max="7197" width="1" style="21" customWidth="1"/>
    <col min="7198" max="7198" width="12.7109375" style="21" customWidth="1"/>
    <col min="7199" max="7199" width="1.28515625" style="21" customWidth="1"/>
    <col min="7200" max="7200" width="11.42578125" style="21" customWidth="1"/>
    <col min="7201" max="7201" width="1" style="21" customWidth="1"/>
    <col min="7202" max="7202" width="10.42578125" style="21" customWidth="1"/>
    <col min="7203" max="7203" width="0.85546875" style="21" customWidth="1"/>
    <col min="7204" max="7204" width="14" style="21" customWidth="1"/>
    <col min="7205" max="7205" width="0.85546875" style="21" customWidth="1"/>
    <col min="7206" max="7206" width="10.42578125" style="21" customWidth="1"/>
    <col min="7207" max="7207" width="0.85546875" style="21" customWidth="1"/>
    <col min="7208" max="7208" width="14" style="21" customWidth="1"/>
    <col min="7209" max="7209" width="0.85546875" style="21" customWidth="1"/>
    <col min="7210" max="7210" width="16" style="21" customWidth="1"/>
    <col min="7211" max="7211" width="0.5703125" style="21" customWidth="1"/>
    <col min="7212" max="7212" width="9.42578125" style="21" bestFit="1" customWidth="1"/>
    <col min="7213" max="7213" width="1.140625" style="21" customWidth="1"/>
    <col min="7214" max="7444" width="9.140625" style="21"/>
    <col min="7445" max="7445" width="2.140625" style="21" customWidth="1"/>
    <col min="7446" max="7446" width="14" style="21" customWidth="1"/>
    <col min="7447" max="7447" width="0.7109375" style="21" customWidth="1"/>
    <col min="7448" max="7448" width="17.140625" style="21" customWidth="1"/>
    <col min="7449" max="7449" width="1.140625" style="21" customWidth="1"/>
    <col min="7450" max="7450" width="18.28515625" style="21" customWidth="1"/>
    <col min="7451" max="7451" width="1" style="21" customWidth="1"/>
    <col min="7452" max="7452" width="27.5703125" style="21" customWidth="1"/>
    <col min="7453" max="7453" width="1" style="21" customWidth="1"/>
    <col min="7454" max="7454" width="12.7109375" style="21" customWidth="1"/>
    <col min="7455" max="7455" width="1.28515625" style="21" customWidth="1"/>
    <col min="7456" max="7456" width="11.42578125" style="21" customWidth="1"/>
    <col min="7457" max="7457" width="1" style="21" customWidth="1"/>
    <col min="7458" max="7458" width="10.42578125" style="21" customWidth="1"/>
    <col min="7459" max="7459" width="0.85546875" style="21" customWidth="1"/>
    <col min="7460" max="7460" width="14" style="21" customWidth="1"/>
    <col min="7461" max="7461" width="0.85546875" style="21" customWidth="1"/>
    <col min="7462" max="7462" width="10.42578125" style="21" customWidth="1"/>
    <col min="7463" max="7463" width="0.85546875" style="21" customWidth="1"/>
    <col min="7464" max="7464" width="14" style="21" customWidth="1"/>
    <col min="7465" max="7465" width="0.85546875" style="21" customWidth="1"/>
    <col min="7466" max="7466" width="16" style="21" customWidth="1"/>
    <col min="7467" max="7467" width="0.5703125" style="21" customWidth="1"/>
    <col min="7468" max="7468" width="9.42578125" style="21" bestFit="1" customWidth="1"/>
    <col min="7469" max="7469" width="1.140625" style="21" customWidth="1"/>
    <col min="7470" max="7700" width="9.140625" style="21"/>
    <col min="7701" max="7701" width="2.140625" style="21" customWidth="1"/>
    <col min="7702" max="7702" width="14" style="21" customWidth="1"/>
    <col min="7703" max="7703" width="0.7109375" style="21" customWidth="1"/>
    <col min="7704" max="7704" width="17.140625" style="21" customWidth="1"/>
    <col min="7705" max="7705" width="1.140625" style="21" customWidth="1"/>
    <col min="7706" max="7706" width="18.28515625" style="21" customWidth="1"/>
    <col min="7707" max="7707" width="1" style="21" customWidth="1"/>
    <col min="7708" max="7708" width="27.5703125" style="21" customWidth="1"/>
    <col min="7709" max="7709" width="1" style="21" customWidth="1"/>
    <col min="7710" max="7710" width="12.7109375" style="21" customWidth="1"/>
    <col min="7711" max="7711" width="1.28515625" style="21" customWidth="1"/>
    <col min="7712" max="7712" width="11.42578125" style="21" customWidth="1"/>
    <col min="7713" max="7713" width="1" style="21" customWidth="1"/>
    <col min="7714" max="7714" width="10.42578125" style="21" customWidth="1"/>
    <col min="7715" max="7715" width="0.85546875" style="21" customWidth="1"/>
    <col min="7716" max="7716" width="14" style="21" customWidth="1"/>
    <col min="7717" max="7717" width="0.85546875" style="21" customWidth="1"/>
    <col min="7718" max="7718" width="10.42578125" style="21" customWidth="1"/>
    <col min="7719" max="7719" width="0.85546875" style="21" customWidth="1"/>
    <col min="7720" max="7720" width="14" style="21" customWidth="1"/>
    <col min="7721" max="7721" width="0.85546875" style="21" customWidth="1"/>
    <col min="7722" max="7722" width="16" style="21" customWidth="1"/>
    <col min="7723" max="7723" width="0.5703125" style="21" customWidth="1"/>
    <col min="7724" max="7724" width="9.42578125" style="21" bestFit="1" customWidth="1"/>
    <col min="7725" max="7725" width="1.140625" style="21" customWidth="1"/>
    <col min="7726" max="7956" width="9.140625" style="21"/>
    <col min="7957" max="7957" width="2.140625" style="21" customWidth="1"/>
    <col min="7958" max="7958" width="14" style="21" customWidth="1"/>
    <col min="7959" max="7959" width="0.7109375" style="21" customWidth="1"/>
    <col min="7960" max="7960" width="17.140625" style="21" customWidth="1"/>
    <col min="7961" max="7961" width="1.140625" style="21" customWidth="1"/>
    <col min="7962" max="7962" width="18.28515625" style="21" customWidth="1"/>
    <col min="7963" max="7963" width="1" style="21" customWidth="1"/>
    <col min="7964" max="7964" width="27.5703125" style="21" customWidth="1"/>
    <col min="7965" max="7965" width="1" style="21" customWidth="1"/>
    <col min="7966" max="7966" width="12.7109375" style="21" customWidth="1"/>
    <col min="7967" max="7967" width="1.28515625" style="21" customWidth="1"/>
    <col min="7968" max="7968" width="11.42578125" style="21" customWidth="1"/>
    <col min="7969" max="7969" width="1" style="21" customWidth="1"/>
    <col min="7970" max="7970" width="10.42578125" style="21" customWidth="1"/>
    <col min="7971" max="7971" width="0.85546875" style="21" customWidth="1"/>
    <col min="7972" max="7972" width="14" style="21" customWidth="1"/>
    <col min="7973" max="7973" width="0.85546875" style="21" customWidth="1"/>
    <col min="7974" max="7974" width="10.42578125" style="21" customWidth="1"/>
    <col min="7975" max="7975" width="0.85546875" style="21" customWidth="1"/>
    <col min="7976" max="7976" width="14" style="21" customWidth="1"/>
    <col min="7977" max="7977" width="0.85546875" style="21" customWidth="1"/>
    <col min="7978" max="7978" width="16" style="21" customWidth="1"/>
    <col min="7979" max="7979" width="0.5703125" style="21" customWidth="1"/>
    <col min="7980" max="7980" width="9.42578125" style="21" bestFit="1" customWidth="1"/>
    <col min="7981" max="7981" width="1.140625" style="21" customWidth="1"/>
    <col min="7982" max="8212" width="9.140625" style="21"/>
    <col min="8213" max="8213" width="2.140625" style="21" customWidth="1"/>
    <col min="8214" max="8214" width="14" style="21" customWidth="1"/>
    <col min="8215" max="8215" width="0.7109375" style="21" customWidth="1"/>
    <col min="8216" max="8216" width="17.140625" style="21" customWidth="1"/>
    <col min="8217" max="8217" width="1.140625" style="21" customWidth="1"/>
    <col min="8218" max="8218" width="18.28515625" style="21" customWidth="1"/>
    <col min="8219" max="8219" width="1" style="21" customWidth="1"/>
    <col min="8220" max="8220" width="27.5703125" style="21" customWidth="1"/>
    <col min="8221" max="8221" width="1" style="21" customWidth="1"/>
    <col min="8222" max="8222" width="12.7109375" style="21" customWidth="1"/>
    <col min="8223" max="8223" width="1.28515625" style="21" customWidth="1"/>
    <col min="8224" max="8224" width="11.42578125" style="21" customWidth="1"/>
    <col min="8225" max="8225" width="1" style="21" customWidth="1"/>
    <col min="8226" max="8226" width="10.42578125" style="21" customWidth="1"/>
    <col min="8227" max="8227" width="0.85546875" style="21" customWidth="1"/>
    <col min="8228" max="8228" width="14" style="21" customWidth="1"/>
    <col min="8229" max="8229" width="0.85546875" style="21" customWidth="1"/>
    <col min="8230" max="8230" width="10.42578125" style="21" customWidth="1"/>
    <col min="8231" max="8231" width="0.85546875" style="21" customWidth="1"/>
    <col min="8232" max="8232" width="14" style="21" customWidth="1"/>
    <col min="8233" max="8233" width="0.85546875" style="21" customWidth="1"/>
    <col min="8234" max="8234" width="16" style="21" customWidth="1"/>
    <col min="8235" max="8235" width="0.5703125" style="21" customWidth="1"/>
    <col min="8236" max="8236" width="9.42578125" style="21" bestFit="1" customWidth="1"/>
    <col min="8237" max="8237" width="1.140625" style="21" customWidth="1"/>
    <col min="8238" max="8468" width="9.140625" style="21"/>
    <col min="8469" max="8469" width="2.140625" style="21" customWidth="1"/>
    <col min="8470" max="8470" width="14" style="21" customWidth="1"/>
    <col min="8471" max="8471" width="0.7109375" style="21" customWidth="1"/>
    <col min="8472" max="8472" width="17.140625" style="21" customWidth="1"/>
    <col min="8473" max="8473" width="1.140625" style="21" customWidth="1"/>
    <col min="8474" max="8474" width="18.28515625" style="21" customWidth="1"/>
    <col min="8475" max="8475" width="1" style="21" customWidth="1"/>
    <col min="8476" max="8476" width="27.5703125" style="21" customWidth="1"/>
    <col min="8477" max="8477" width="1" style="21" customWidth="1"/>
    <col min="8478" max="8478" width="12.7109375" style="21" customWidth="1"/>
    <col min="8479" max="8479" width="1.28515625" style="21" customWidth="1"/>
    <col min="8480" max="8480" width="11.42578125" style="21" customWidth="1"/>
    <col min="8481" max="8481" width="1" style="21" customWidth="1"/>
    <col min="8482" max="8482" width="10.42578125" style="21" customWidth="1"/>
    <col min="8483" max="8483" width="0.85546875" style="21" customWidth="1"/>
    <col min="8484" max="8484" width="14" style="21" customWidth="1"/>
    <col min="8485" max="8485" width="0.85546875" style="21" customWidth="1"/>
    <col min="8486" max="8486" width="10.42578125" style="21" customWidth="1"/>
    <col min="8487" max="8487" width="0.85546875" style="21" customWidth="1"/>
    <col min="8488" max="8488" width="14" style="21" customWidth="1"/>
    <col min="8489" max="8489" width="0.85546875" style="21" customWidth="1"/>
    <col min="8490" max="8490" width="16" style="21" customWidth="1"/>
    <col min="8491" max="8491" width="0.5703125" style="21" customWidth="1"/>
    <col min="8492" max="8492" width="9.42578125" style="21" bestFit="1" customWidth="1"/>
    <col min="8493" max="8493" width="1.140625" style="21" customWidth="1"/>
    <col min="8494" max="8724" width="9.140625" style="21"/>
    <col min="8725" max="8725" width="2.140625" style="21" customWidth="1"/>
    <col min="8726" max="8726" width="14" style="21" customWidth="1"/>
    <col min="8727" max="8727" width="0.7109375" style="21" customWidth="1"/>
    <col min="8728" max="8728" width="17.140625" style="21" customWidth="1"/>
    <col min="8729" max="8729" width="1.140625" style="21" customWidth="1"/>
    <col min="8730" max="8730" width="18.28515625" style="21" customWidth="1"/>
    <col min="8731" max="8731" width="1" style="21" customWidth="1"/>
    <col min="8732" max="8732" width="27.5703125" style="21" customWidth="1"/>
    <col min="8733" max="8733" width="1" style="21" customWidth="1"/>
    <col min="8734" max="8734" width="12.7109375" style="21" customWidth="1"/>
    <col min="8735" max="8735" width="1.28515625" style="21" customWidth="1"/>
    <col min="8736" max="8736" width="11.42578125" style="21" customWidth="1"/>
    <col min="8737" max="8737" width="1" style="21" customWidth="1"/>
    <col min="8738" max="8738" width="10.42578125" style="21" customWidth="1"/>
    <col min="8739" max="8739" width="0.85546875" style="21" customWidth="1"/>
    <col min="8740" max="8740" width="14" style="21" customWidth="1"/>
    <col min="8741" max="8741" width="0.85546875" style="21" customWidth="1"/>
    <col min="8742" max="8742" width="10.42578125" style="21" customWidth="1"/>
    <col min="8743" max="8743" width="0.85546875" style="21" customWidth="1"/>
    <col min="8744" max="8744" width="14" style="21" customWidth="1"/>
    <col min="8745" max="8745" width="0.85546875" style="21" customWidth="1"/>
    <col min="8746" max="8746" width="16" style="21" customWidth="1"/>
    <col min="8747" max="8747" width="0.5703125" style="21" customWidth="1"/>
    <col min="8748" max="8748" width="9.42578125" style="21" bestFit="1" customWidth="1"/>
    <col min="8749" max="8749" width="1.140625" style="21" customWidth="1"/>
    <col min="8750" max="8980" width="9.140625" style="21"/>
    <col min="8981" max="8981" width="2.140625" style="21" customWidth="1"/>
    <col min="8982" max="8982" width="14" style="21" customWidth="1"/>
    <col min="8983" max="8983" width="0.7109375" style="21" customWidth="1"/>
    <col min="8984" max="8984" width="17.140625" style="21" customWidth="1"/>
    <col min="8985" max="8985" width="1.140625" style="21" customWidth="1"/>
    <col min="8986" max="8986" width="18.28515625" style="21" customWidth="1"/>
    <col min="8987" max="8987" width="1" style="21" customWidth="1"/>
    <col min="8988" max="8988" width="27.5703125" style="21" customWidth="1"/>
    <col min="8989" max="8989" width="1" style="21" customWidth="1"/>
    <col min="8990" max="8990" width="12.7109375" style="21" customWidth="1"/>
    <col min="8991" max="8991" width="1.28515625" style="21" customWidth="1"/>
    <col min="8992" max="8992" width="11.42578125" style="21" customWidth="1"/>
    <col min="8993" max="8993" width="1" style="21" customWidth="1"/>
    <col min="8994" max="8994" width="10.42578125" style="21" customWidth="1"/>
    <col min="8995" max="8995" width="0.85546875" style="21" customWidth="1"/>
    <col min="8996" max="8996" width="14" style="21" customWidth="1"/>
    <col min="8997" max="8997" width="0.85546875" style="21" customWidth="1"/>
    <col min="8998" max="8998" width="10.42578125" style="21" customWidth="1"/>
    <col min="8999" max="8999" width="0.85546875" style="21" customWidth="1"/>
    <col min="9000" max="9000" width="14" style="21" customWidth="1"/>
    <col min="9001" max="9001" width="0.85546875" style="21" customWidth="1"/>
    <col min="9002" max="9002" width="16" style="21" customWidth="1"/>
    <col min="9003" max="9003" width="0.5703125" style="21" customWidth="1"/>
    <col min="9004" max="9004" width="9.42578125" style="21" bestFit="1" customWidth="1"/>
    <col min="9005" max="9005" width="1.140625" style="21" customWidth="1"/>
    <col min="9006" max="9236" width="9.140625" style="21"/>
    <col min="9237" max="9237" width="2.140625" style="21" customWidth="1"/>
    <col min="9238" max="9238" width="14" style="21" customWidth="1"/>
    <col min="9239" max="9239" width="0.7109375" style="21" customWidth="1"/>
    <col min="9240" max="9240" width="17.140625" style="21" customWidth="1"/>
    <col min="9241" max="9241" width="1.140625" style="21" customWidth="1"/>
    <col min="9242" max="9242" width="18.28515625" style="21" customWidth="1"/>
    <col min="9243" max="9243" width="1" style="21" customWidth="1"/>
    <col min="9244" max="9244" width="27.5703125" style="21" customWidth="1"/>
    <col min="9245" max="9245" width="1" style="21" customWidth="1"/>
    <col min="9246" max="9246" width="12.7109375" style="21" customWidth="1"/>
    <col min="9247" max="9247" width="1.28515625" style="21" customWidth="1"/>
    <col min="9248" max="9248" width="11.42578125" style="21" customWidth="1"/>
    <col min="9249" max="9249" width="1" style="21" customWidth="1"/>
    <col min="9250" max="9250" width="10.42578125" style="21" customWidth="1"/>
    <col min="9251" max="9251" width="0.85546875" style="21" customWidth="1"/>
    <col min="9252" max="9252" width="14" style="21" customWidth="1"/>
    <col min="9253" max="9253" width="0.85546875" style="21" customWidth="1"/>
    <col min="9254" max="9254" width="10.42578125" style="21" customWidth="1"/>
    <col min="9255" max="9255" width="0.85546875" style="21" customWidth="1"/>
    <col min="9256" max="9256" width="14" style="21" customWidth="1"/>
    <col min="9257" max="9257" width="0.85546875" style="21" customWidth="1"/>
    <col min="9258" max="9258" width="16" style="21" customWidth="1"/>
    <col min="9259" max="9259" width="0.5703125" style="21" customWidth="1"/>
    <col min="9260" max="9260" width="9.42578125" style="21" bestFit="1" customWidth="1"/>
    <col min="9261" max="9261" width="1.140625" style="21" customWidth="1"/>
    <col min="9262" max="9492" width="9.140625" style="21"/>
    <col min="9493" max="9493" width="2.140625" style="21" customWidth="1"/>
    <col min="9494" max="9494" width="14" style="21" customWidth="1"/>
    <col min="9495" max="9495" width="0.7109375" style="21" customWidth="1"/>
    <col min="9496" max="9496" width="17.140625" style="21" customWidth="1"/>
    <col min="9497" max="9497" width="1.140625" style="21" customWidth="1"/>
    <col min="9498" max="9498" width="18.28515625" style="21" customWidth="1"/>
    <col min="9499" max="9499" width="1" style="21" customWidth="1"/>
    <col min="9500" max="9500" width="27.5703125" style="21" customWidth="1"/>
    <col min="9501" max="9501" width="1" style="21" customWidth="1"/>
    <col min="9502" max="9502" width="12.7109375" style="21" customWidth="1"/>
    <col min="9503" max="9503" width="1.28515625" style="21" customWidth="1"/>
    <col min="9504" max="9504" width="11.42578125" style="21" customWidth="1"/>
    <col min="9505" max="9505" width="1" style="21" customWidth="1"/>
    <col min="9506" max="9506" width="10.42578125" style="21" customWidth="1"/>
    <col min="9507" max="9507" width="0.85546875" style="21" customWidth="1"/>
    <col min="9508" max="9508" width="14" style="21" customWidth="1"/>
    <col min="9509" max="9509" width="0.85546875" style="21" customWidth="1"/>
    <col min="9510" max="9510" width="10.42578125" style="21" customWidth="1"/>
    <col min="9511" max="9511" width="0.85546875" style="21" customWidth="1"/>
    <col min="9512" max="9512" width="14" style="21" customWidth="1"/>
    <col min="9513" max="9513" width="0.85546875" style="21" customWidth="1"/>
    <col min="9514" max="9514" width="16" style="21" customWidth="1"/>
    <col min="9515" max="9515" width="0.5703125" style="21" customWidth="1"/>
    <col min="9516" max="9516" width="9.42578125" style="21" bestFit="1" customWidth="1"/>
    <col min="9517" max="9517" width="1.140625" style="21" customWidth="1"/>
    <col min="9518" max="9748" width="9.140625" style="21"/>
    <col min="9749" max="9749" width="2.140625" style="21" customWidth="1"/>
    <col min="9750" max="9750" width="14" style="21" customWidth="1"/>
    <col min="9751" max="9751" width="0.7109375" style="21" customWidth="1"/>
    <col min="9752" max="9752" width="17.140625" style="21" customWidth="1"/>
    <col min="9753" max="9753" width="1.140625" style="21" customWidth="1"/>
    <col min="9754" max="9754" width="18.28515625" style="21" customWidth="1"/>
    <col min="9755" max="9755" width="1" style="21" customWidth="1"/>
    <col min="9756" max="9756" width="27.5703125" style="21" customWidth="1"/>
    <col min="9757" max="9757" width="1" style="21" customWidth="1"/>
    <col min="9758" max="9758" width="12.7109375" style="21" customWidth="1"/>
    <col min="9759" max="9759" width="1.28515625" style="21" customWidth="1"/>
    <col min="9760" max="9760" width="11.42578125" style="21" customWidth="1"/>
    <col min="9761" max="9761" width="1" style="21" customWidth="1"/>
    <col min="9762" max="9762" width="10.42578125" style="21" customWidth="1"/>
    <col min="9763" max="9763" width="0.85546875" style="21" customWidth="1"/>
    <col min="9764" max="9764" width="14" style="21" customWidth="1"/>
    <col min="9765" max="9765" width="0.85546875" style="21" customWidth="1"/>
    <col min="9766" max="9766" width="10.42578125" style="21" customWidth="1"/>
    <col min="9767" max="9767" width="0.85546875" style="21" customWidth="1"/>
    <col min="9768" max="9768" width="14" style="21" customWidth="1"/>
    <col min="9769" max="9769" width="0.85546875" style="21" customWidth="1"/>
    <col min="9770" max="9770" width="16" style="21" customWidth="1"/>
    <col min="9771" max="9771" width="0.5703125" style="21" customWidth="1"/>
    <col min="9772" max="9772" width="9.42578125" style="21" bestFit="1" customWidth="1"/>
    <col min="9773" max="9773" width="1.140625" style="21" customWidth="1"/>
    <col min="9774" max="10004" width="9.140625" style="21"/>
    <col min="10005" max="10005" width="2.140625" style="21" customWidth="1"/>
    <col min="10006" max="10006" width="14" style="21" customWidth="1"/>
    <col min="10007" max="10007" width="0.7109375" style="21" customWidth="1"/>
    <col min="10008" max="10008" width="17.140625" style="21" customWidth="1"/>
    <col min="10009" max="10009" width="1.140625" style="21" customWidth="1"/>
    <col min="10010" max="10010" width="18.28515625" style="21" customWidth="1"/>
    <col min="10011" max="10011" width="1" style="21" customWidth="1"/>
    <col min="10012" max="10012" width="27.5703125" style="21" customWidth="1"/>
    <col min="10013" max="10013" width="1" style="21" customWidth="1"/>
    <col min="10014" max="10014" width="12.7109375" style="21" customWidth="1"/>
    <col min="10015" max="10015" width="1.28515625" style="21" customWidth="1"/>
    <col min="10016" max="10016" width="11.42578125" style="21" customWidth="1"/>
    <col min="10017" max="10017" width="1" style="21" customWidth="1"/>
    <col min="10018" max="10018" width="10.42578125" style="21" customWidth="1"/>
    <col min="10019" max="10019" width="0.85546875" style="21" customWidth="1"/>
    <col min="10020" max="10020" width="14" style="21" customWidth="1"/>
    <col min="10021" max="10021" width="0.85546875" style="21" customWidth="1"/>
    <col min="10022" max="10022" width="10.42578125" style="21" customWidth="1"/>
    <col min="10023" max="10023" width="0.85546875" style="21" customWidth="1"/>
    <col min="10024" max="10024" width="14" style="21" customWidth="1"/>
    <col min="10025" max="10025" width="0.85546875" style="21" customWidth="1"/>
    <col min="10026" max="10026" width="16" style="21" customWidth="1"/>
    <col min="10027" max="10027" width="0.5703125" style="21" customWidth="1"/>
    <col min="10028" max="10028" width="9.42578125" style="21" bestFit="1" customWidth="1"/>
    <col min="10029" max="10029" width="1.140625" style="21" customWidth="1"/>
    <col min="10030" max="10260" width="9.140625" style="21"/>
    <col min="10261" max="10261" width="2.140625" style="21" customWidth="1"/>
    <col min="10262" max="10262" width="14" style="21" customWidth="1"/>
    <col min="10263" max="10263" width="0.7109375" style="21" customWidth="1"/>
    <col min="10264" max="10264" width="17.140625" style="21" customWidth="1"/>
    <col min="10265" max="10265" width="1.140625" style="21" customWidth="1"/>
    <col min="10266" max="10266" width="18.28515625" style="21" customWidth="1"/>
    <col min="10267" max="10267" width="1" style="21" customWidth="1"/>
    <col min="10268" max="10268" width="27.5703125" style="21" customWidth="1"/>
    <col min="10269" max="10269" width="1" style="21" customWidth="1"/>
    <col min="10270" max="10270" width="12.7109375" style="21" customWidth="1"/>
    <col min="10271" max="10271" width="1.28515625" style="21" customWidth="1"/>
    <col min="10272" max="10272" width="11.42578125" style="21" customWidth="1"/>
    <col min="10273" max="10273" width="1" style="21" customWidth="1"/>
    <col min="10274" max="10274" width="10.42578125" style="21" customWidth="1"/>
    <col min="10275" max="10275" width="0.85546875" style="21" customWidth="1"/>
    <col min="10276" max="10276" width="14" style="21" customWidth="1"/>
    <col min="10277" max="10277" width="0.85546875" style="21" customWidth="1"/>
    <col min="10278" max="10278" width="10.42578125" style="21" customWidth="1"/>
    <col min="10279" max="10279" width="0.85546875" style="21" customWidth="1"/>
    <col min="10280" max="10280" width="14" style="21" customWidth="1"/>
    <col min="10281" max="10281" width="0.85546875" style="21" customWidth="1"/>
    <col min="10282" max="10282" width="16" style="21" customWidth="1"/>
    <col min="10283" max="10283" width="0.5703125" style="21" customWidth="1"/>
    <col min="10284" max="10284" width="9.42578125" style="21" bestFit="1" customWidth="1"/>
    <col min="10285" max="10285" width="1.140625" style="21" customWidth="1"/>
    <col min="10286" max="10516" width="9.140625" style="21"/>
    <col min="10517" max="10517" width="2.140625" style="21" customWidth="1"/>
    <col min="10518" max="10518" width="14" style="21" customWidth="1"/>
    <col min="10519" max="10519" width="0.7109375" style="21" customWidth="1"/>
    <col min="10520" max="10520" width="17.140625" style="21" customWidth="1"/>
    <col min="10521" max="10521" width="1.140625" style="21" customWidth="1"/>
    <col min="10522" max="10522" width="18.28515625" style="21" customWidth="1"/>
    <col min="10523" max="10523" width="1" style="21" customWidth="1"/>
    <col min="10524" max="10524" width="27.5703125" style="21" customWidth="1"/>
    <col min="10525" max="10525" width="1" style="21" customWidth="1"/>
    <col min="10526" max="10526" width="12.7109375" style="21" customWidth="1"/>
    <col min="10527" max="10527" width="1.28515625" style="21" customWidth="1"/>
    <col min="10528" max="10528" width="11.42578125" style="21" customWidth="1"/>
    <col min="10529" max="10529" width="1" style="21" customWidth="1"/>
    <col min="10530" max="10530" width="10.42578125" style="21" customWidth="1"/>
    <col min="10531" max="10531" width="0.85546875" style="21" customWidth="1"/>
    <col min="10532" max="10532" width="14" style="21" customWidth="1"/>
    <col min="10533" max="10533" width="0.85546875" style="21" customWidth="1"/>
    <col min="10534" max="10534" width="10.42578125" style="21" customWidth="1"/>
    <col min="10535" max="10535" width="0.85546875" style="21" customWidth="1"/>
    <col min="10536" max="10536" width="14" style="21" customWidth="1"/>
    <col min="10537" max="10537" width="0.85546875" style="21" customWidth="1"/>
    <col min="10538" max="10538" width="16" style="21" customWidth="1"/>
    <col min="10539" max="10539" width="0.5703125" style="21" customWidth="1"/>
    <col min="10540" max="10540" width="9.42578125" style="21" bestFit="1" customWidth="1"/>
    <col min="10541" max="10541" width="1.140625" style="21" customWidth="1"/>
    <col min="10542" max="10772" width="9.140625" style="21"/>
    <col min="10773" max="10773" width="2.140625" style="21" customWidth="1"/>
    <col min="10774" max="10774" width="14" style="21" customWidth="1"/>
    <col min="10775" max="10775" width="0.7109375" style="21" customWidth="1"/>
    <col min="10776" max="10776" width="17.140625" style="21" customWidth="1"/>
    <col min="10777" max="10777" width="1.140625" style="21" customWidth="1"/>
    <col min="10778" max="10778" width="18.28515625" style="21" customWidth="1"/>
    <col min="10779" max="10779" width="1" style="21" customWidth="1"/>
    <col min="10780" max="10780" width="27.5703125" style="21" customWidth="1"/>
    <col min="10781" max="10781" width="1" style="21" customWidth="1"/>
    <col min="10782" max="10782" width="12.7109375" style="21" customWidth="1"/>
    <col min="10783" max="10783" width="1.28515625" style="21" customWidth="1"/>
    <col min="10784" max="10784" width="11.42578125" style="21" customWidth="1"/>
    <col min="10785" max="10785" width="1" style="21" customWidth="1"/>
    <col min="10786" max="10786" width="10.42578125" style="21" customWidth="1"/>
    <col min="10787" max="10787" width="0.85546875" style="21" customWidth="1"/>
    <col min="10788" max="10788" width="14" style="21" customWidth="1"/>
    <col min="10789" max="10789" width="0.85546875" style="21" customWidth="1"/>
    <col min="10790" max="10790" width="10.42578125" style="21" customWidth="1"/>
    <col min="10791" max="10791" width="0.85546875" style="21" customWidth="1"/>
    <col min="10792" max="10792" width="14" style="21" customWidth="1"/>
    <col min="10793" max="10793" width="0.85546875" style="21" customWidth="1"/>
    <col min="10794" max="10794" width="16" style="21" customWidth="1"/>
    <col min="10795" max="10795" width="0.5703125" style="21" customWidth="1"/>
    <col min="10796" max="10796" width="9.42578125" style="21" bestFit="1" customWidth="1"/>
    <col min="10797" max="10797" width="1.140625" style="21" customWidth="1"/>
    <col min="10798" max="11028" width="9.140625" style="21"/>
    <col min="11029" max="11029" width="2.140625" style="21" customWidth="1"/>
    <col min="11030" max="11030" width="14" style="21" customWidth="1"/>
    <col min="11031" max="11031" width="0.7109375" style="21" customWidth="1"/>
    <col min="11032" max="11032" width="17.140625" style="21" customWidth="1"/>
    <col min="11033" max="11033" width="1.140625" style="21" customWidth="1"/>
    <col min="11034" max="11034" width="18.28515625" style="21" customWidth="1"/>
    <col min="11035" max="11035" width="1" style="21" customWidth="1"/>
    <col min="11036" max="11036" width="27.5703125" style="21" customWidth="1"/>
    <col min="11037" max="11037" width="1" style="21" customWidth="1"/>
    <col min="11038" max="11038" width="12.7109375" style="21" customWidth="1"/>
    <col min="11039" max="11039" width="1.28515625" style="21" customWidth="1"/>
    <col min="11040" max="11040" width="11.42578125" style="21" customWidth="1"/>
    <col min="11041" max="11041" width="1" style="21" customWidth="1"/>
    <col min="11042" max="11042" width="10.42578125" style="21" customWidth="1"/>
    <col min="11043" max="11043" width="0.85546875" style="21" customWidth="1"/>
    <col min="11044" max="11044" width="14" style="21" customWidth="1"/>
    <col min="11045" max="11045" width="0.85546875" style="21" customWidth="1"/>
    <col min="11046" max="11046" width="10.42578125" style="21" customWidth="1"/>
    <col min="11047" max="11047" width="0.85546875" style="21" customWidth="1"/>
    <col min="11048" max="11048" width="14" style="21" customWidth="1"/>
    <col min="11049" max="11049" width="0.85546875" style="21" customWidth="1"/>
    <col min="11050" max="11050" width="16" style="21" customWidth="1"/>
    <col min="11051" max="11051" width="0.5703125" style="21" customWidth="1"/>
    <col min="11052" max="11052" width="9.42578125" style="21" bestFit="1" customWidth="1"/>
    <col min="11053" max="11053" width="1.140625" style="21" customWidth="1"/>
    <col min="11054" max="11284" width="9.140625" style="21"/>
    <col min="11285" max="11285" width="2.140625" style="21" customWidth="1"/>
    <col min="11286" max="11286" width="14" style="21" customWidth="1"/>
    <col min="11287" max="11287" width="0.7109375" style="21" customWidth="1"/>
    <col min="11288" max="11288" width="17.140625" style="21" customWidth="1"/>
    <col min="11289" max="11289" width="1.140625" style="21" customWidth="1"/>
    <col min="11290" max="11290" width="18.28515625" style="21" customWidth="1"/>
    <col min="11291" max="11291" width="1" style="21" customWidth="1"/>
    <col min="11292" max="11292" width="27.5703125" style="21" customWidth="1"/>
    <col min="11293" max="11293" width="1" style="21" customWidth="1"/>
    <col min="11294" max="11294" width="12.7109375" style="21" customWidth="1"/>
    <col min="11295" max="11295" width="1.28515625" style="21" customWidth="1"/>
    <col min="11296" max="11296" width="11.42578125" style="21" customWidth="1"/>
    <col min="11297" max="11297" width="1" style="21" customWidth="1"/>
    <col min="11298" max="11298" width="10.42578125" style="21" customWidth="1"/>
    <col min="11299" max="11299" width="0.85546875" style="21" customWidth="1"/>
    <col min="11300" max="11300" width="14" style="21" customWidth="1"/>
    <col min="11301" max="11301" width="0.85546875" style="21" customWidth="1"/>
    <col min="11302" max="11302" width="10.42578125" style="21" customWidth="1"/>
    <col min="11303" max="11303" width="0.85546875" style="21" customWidth="1"/>
    <col min="11304" max="11304" width="14" style="21" customWidth="1"/>
    <col min="11305" max="11305" width="0.85546875" style="21" customWidth="1"/>
    <col min="11306" max="11306" width="16" style="21" customWidth="1"/>
    <col min="11307" max="11307" width="0.5703125" style="21" customWidth="1"/>
    <col min="11308" max="11308" width="9.42578125" style="21" bestFit="1" customWidth="1"/>
    <col min="11309" max="11309" width="1.140625" style="21" customWidth="1"/>
    <col min="11310" max="11540" width="9.140625" style="21"/>
    <col min="11541" max="11541" width="2.140625" style="21" customWidth="1"/>
    <col min="11542" max="11542" width="14" style="21" customWidth="1"/>
    <col min="11543" max="11543" width="0.7109375" style="21" customWidth="1"/>
    <col min="11544" max="11544" width="17.140625" style="21" customWidth="1"/>
    <col min="11545" max="11545" width="1.140625" style="21" customWidth="1"/>
    <col min="11546" max="11546" width="18.28515625" style="21" customWidth="1"/>
    <col min="11547" max="11547" width="1" style="21" customWidth="1"/>
    <col min="11548" max="11548" width="27.5703125" style="21" customWidth="1"/>
    <col min="11549" max="11549" width="1" style="21" customWidth="1"/>
    <col min="11550" max="11550" width="12.7109375" style="21" customWidth="1"/>
    <col min="11551" max="11551" width="1.28515625" style="21" customWidth="1"/>
    <col min="11552" max="11552" width="11.42578125" style="21" customWidth="1"/>
    <col min="11553" max="11553" width="1" style="21" customWidth="1"/>
    <col min="11554" max="11554" width="10.42578125" style="21" customWidth="1"/>
    <col min="11555" max="11555" width="0.85546875" style="21" customWidth="1"/>
    <col min="11556" max="11556" width="14" style="21" customWidth="1"/>
    <col min="11557" max="11557" width="0.85546875" style="21" customWidth="1"/>
    <col min="11558" max="11558" width="10.42578125" style="21" customWidth="1"/>
    <col min="11559" max="11559" width="0.85546875" style="21" customWidth="1"/>
    <col min="11560" max="11560" width="14" style="21" customWidth="1"/>
    <col min="11561" max="11561" width="0.85546875" style="21" customWidth="1"/>
    <col min="11562" max="11562" width="16" style="21" customWidth="1"/>
    <col min="11563" max="11563" width="0.5703125" style="21" customWidth="1"/>
    <col min="11564" max="11564" width="9.42578125" style="21" bestFit="1" customWidth="1"/>
    <col min="11565" max="11565" width="1.140625" style="21" customWidth="1"/>
    <col min="11566" max="11796" width="9.140625" style="21"/>
    <col min="11797" max="11797" width="2.140625" style="21" customWidth="1"/>
    <col min="11798" max="11798" width="14" style="21" customWidth="1"/>
    <col min="11799" max="11799" width="0.7109375" style="21" customWidth="1"/>
    <col min="11800" max="11800" width="17.140625" style="21" customWidth="1"/>
    <col min="11801" max="11801" width="1.140625" style="21" customWidth="1"/>
    <col min="11802" max="11802" width="18.28515625" style="21" customWidth="1"/>
    <col min="11803" max="11803" width="1" style="21" customWidth="1"/>
    <col min="11804" max="11804" width="27.5703125" style="21" customWidth="1"/>
    <col min="11805" max="11805" width="1" style="21" customWidth="1"/>
    <col min="11806" max="11806" width="12.7109375" style="21" customWidth="1"/>
    <col min="11807" max="11807" width="1.28515625" style="21" customWidth="1"/>
    <col min="11808" max="11808" width="11.42578125" style="21" customWidth="1"/>
    <col min="11809" max="11809" width="1" style="21" customWidth="1"/>
    <col min="11810" max="11810" width="10.42578125" style="21" customWidth="1"/>
    <col min="11811" max="11811" width="0.85546875" style="21" customWidth="1"/>
    <col min="11812" max="11812" width="14" style="21" customWidth="1"/>
    <col min="11813" max="11813" width="0.85546875" style="21" customWidth="1"/>
    <col min="11814" max="11814" width="10.42578125" style="21" customWidth="1"/>
    <col min="11815" max="11815" width="0.85546875" style="21" customWidth="1"/>
    <col min="11816" max="11816" width="14" style="21" customWidth="1"/>
    <col min="11817" max="11817" width="0.85546875" style="21" customWidth="1"/>
    <col min="11818" max="11818" width="16" style="21" customWidth="1"/>
    <col min="11819" max="11819" width="0.5703125" style="21" customWidth="1"/>
    <col min="11820" max="11820" width="9.42578125" style="21" bestFit="1" customWidth="1"/>
    <col min="11821" max="11821" width="1.140625" style="21" customWidth="1"/>
    <col min="11822" max="12052" width="9.140625" style="21"/>
    <col min="12053" max="12053" width="2.140625" style="21" customWidth="1"/>
    <col min="12054" max="12054" width="14" style="21" customWidth="1"/>
    <col min="12055" max="12055" width="0.7109375" style="21" customWidth="1"/>
    <col min="12056" max="12056" width="17.140625" style="21" customWidth="1"/>
    <col min="12057" max="12057" width="1.140625" style="21" customWidth="1"/>
    <col min="12058" max="12058" width="18.28515625" style="21" customWidth="1"/>
    <col min="12059" max="12059" width="1" style="21" customWidth="1"/>
    <col min="12060" max="12060" width="27.5703125" style="21" customWidth="1"/>
    <col min="12061" max="12061" width="1" style="21" customWidth="1"/>
    <col min="12062" max="12062" width="12.7109375" style="21" customWidth="1"/>
    <col min="12063" max="12063" width="1.28515625" style="21" customWidth="1"/>
    <col min="12064" max="12064" width="11.42578125" style="21" customWidth="1"/>
    <col min="12065" max="12065" width="1" style="21" customWidth="1"/>
    <col min="12066" max="12066" width="10.42578125" style="21" customWidth="1"/>
    <col min="12067" max="12067" width="0.85546875" style="21" customWidth="1"/>
    <col min="12068" max="12068" width="14" style="21" customWidth="1"/>
    <col min="12069" max="12069" width="0.85546875" style="21" customWidth="1"/>
    <col min="12070" max="12070" width="10.42578125" style="21" customWidth="1"/>
    <col min="12071" max="12071" width="0.85546875" style="21" customWidth="1"/>
    <col min="12072" max="12072" width="14" style="21" customWidth="1"/>
    <col min="12073" max="12073" width="0.85546875" style="21" customWidth="1"/>
    <col min="12074" max="12074" width="16" style="21" customWidth="1"/>
    <col min="12075" max="12075" width="0.5703125" style="21" customWidth="1"/>
    <col min="12076" max="12076" width="9.42578125" style="21" bestFit="1" customWidth="1"/>
    <col min="12077" max="12077" width="1.140625" style="21" customWidth="1"/>
    <col min="12078" max="12308" width="9.140625" style="21"/>
    <col min="12309" max="12309" width="2.140625" style="21" customWidth="1"/>
    <col min="12310" max="12310" width="14" style="21" customWidth="1"/>
    <col min="12311" max="12311" width="0.7109375" style="21" customWidth="1"/>
    <col min="12312" max="12312" width="17.140625" style="21" customWidth="1"/>
    <col min="12313" max="12313" width="1.140625" style="21" customWidth="1"/>
    <col min="12314" max="12314" width="18.28515625" style="21" customWidth="1"/>
    <col min="12315" max="12315" width="1" style="21" customWidth="1"/>
    <col min="12316" max="12316" width="27.5703125" style="21" customWidth="1"/>
    <col min="12317" max="12317" width="1" style="21" customWidth="1"/>
    <col min="12318" max="12318" width="12.7109375" style="21" customWidth="1"/>
    <col min="12319" max="12319" width="1.28515625" style="21" customWidth="1"/>
    <col min="12320" max="12320" width="11.42578125" style="21" customWidth="1"/>
    <col min="12321" max="12321" width="1" style="21" customWidth="1"/>
    <col min="12322" max="12322" width="10.42578125" style="21" customWidth="1"/>
    <col min="12323" max="12323" width="0.85546875" style="21" customWidth="1"/>
    <col min="12324" max="12324" width="14" style="21" customWidth="1"/>
    <col min="12325" max="12325" width="0.85546875" style="21" customWidth="1"/>
    <col min="12326" max="12326" width="10.42578125" style="21" customWidth="1"/>
    <col min="12327" max="12327" width="0.85546875" style="21" customWidth="1"/>
    <col min="12328" max="12328" width="14" style="21" customWidth="1"/>
    <col min="12329" max="12329" width="0.85546875" style="21" customWidth="1"/>
    <col min="12330" max="12330" width="16" style="21" customWidth="1"/>
    <col min="12331" max="12331" width="0.5703125" style="21" customWidth="1"/>
    <col min="12332" max="12332" width="9.42578125" style="21" bestFit="1" customWidth="1"/>
    <col min="12333" max="12333" width="1.140625" style="21" customWidth="1"/>
    <col min="12334" max="12564" width="9.140625" style="21"/>
    <col min="12565" max="12565" width="2.140625" style="21" customWidth="1"/>
    <col min="12566" max="12566" width="14" style="21" customWidth="1"/>
    <col min="12567" max="12567" width="0.7109375" style="21" customWidth="1"/>
    <col min="12568" max="12568" width="17.140625" style="21" customWidth="1"/>
    <col min="12569" max="12569" width="1.140625" style="21" customWidth="1"/>
    <col min="12570" max="12570" width="18.28515625" style="21" customWidth="1"/>
    <col min="12571" max="12571" width="1" style="21" customWidth="1"/>
    <col min="12572" max="12572" width="27.5703125" style="21" customWidth="1"/>
    <col min="12573" max="12573" width="1" style="21" customWidth="1"/>
    <col min="12574" max="12574" width="12.7109375" style="21" customWidth="1"/>
    <col min="12575" max="12575" width="1.28515625" style="21" customWidth="1"/>
    <col min="12576" max="12576" width="11.42578125" style="21" customWidth="1"/>
    <col min="12577" max="12577" width="1" style="21" customWidth="1"/>
    <col min="12578" max="12578" width="10.42578125" style="21" customWidth="1"/>
    <col min="12579" max="12579" width="0.85546875" style="21" customWidth="1"/>
    <col min="12580" max="12580" width="14" style="21" customWidth="1"/>
    <col min="12581" max="12581" width="0.85546875" style="21" customWidth="1"/>
    <col min="12582" max="12582" width="10.42578125" style="21" customWidth="1"/>
    <col min="12583" max="12583" width="0.85546875" style="21" customWidth="1"/>
    <col min="12584" max="12584" width="14" style="21" customWidth="1"/>
    <col min="12585" max="12585" width="0.85546875" style="21" customWidth="1"/>
    <col min="12586" max="12586" width="16" style="21" customWidth="1"/>
    <col min="12587" max="12587" width="0.5703125" style="21" customWidth="1"/>
    <col min="12588" max="12588" width="9.42578125" style="21" bestFit="1" customWidth="1"/>
    <col min="12589" max="12589" width="1.140625" style="21" customWidth="1"/>
    <col min="12590" max="12820" width="9.140625" style="21"/>
    <col min="12821" max="12821" width="2.140625" style="21" customWidth="1"/>
    <col min="12822" max="12822" width="14" style="21" customWidth="1"/>
    <col min="12823" max="12823" width="0.7109375" style="21" customWidth="1"/>
    <col min="12824" max="12824" width="17.140625" style="21" customWidth="1"/>
    <col min="12825" max="12825" width="1.140625" style="21" customWidth="1"/>
    <col min="12826" max="12826" width="18.28515625" style="21" customWidth="1"/>
    <col min="12827" max="12827" width="1" style="21" customWidth="1"/>
    <col min="12828" max="12828" width="27.5703125" style="21" customWidth="1"/>
    <col min="12829" max="12829" width="1" style="21" customWidth="1"/>
    <col min="12830" max="12830" width="12.7109375" style="21" customWidth="1"/>
    <col min="12831" max="12831" width="1.28515625" style="21" customWidth="1"/>
    <col min="12832" max="12832" width="11.42578125" style="21" customWidth="1"/>
    <col min="12833" max="12833" width="1" style="21" customWidth="1"/>
    <col min="12834" max="12834" width="10.42578125" style="21" customWidth="1"/>
    <col min="12835" max="12835" width="0.85546875" style="21" customWidth="1"/>
    <col min="12836" max="12836" width="14" style="21" customWidth="1"/>
    <col min="12837" max="12837" width="0.85546875" style="21" customWidth="1"/>
    <col min="12838" max="12838" width="10.42578125" style="21" customWidth="1"/>
    <col min="12839" max="12839" width="0.85546875" style="21" customWidth="1"/>
    <col min="12840" max="12840" width="14" style="21" customWidth="1"/>
    <col min="12841" max="12841" width="0.85546875" style="21" customWidth="1"/>
    <col min="12842" max="12842" width="16" style="21" customWidth="1"/>
    <col min="12843" max="12843" width="0.5703125" style="21" customWidth="1"/>
    <col min="12844" max="12844" width="9.42578125" style="21" bestFit="1" customWidth="1"/>
    <col min="12845" max="12845" width="1.140625" style="21" customWidth="1"/>
    <col min="12846" max="13076" width="9.140625" style="21"/>
    <col min="13077" max="13077" width="2.140625" style="21" customWidth="1"/>
    <col min="13078" max="13078" width="14" style="21" customWidth="1"/>
    <col min="13079" max="13079" width="0.7109375" style="21" customWidth="1"/>
    <col min="13080" max="13080" width="17.140625" style="21" customWidth="1"/>
    <col min="13081" max="13081" width="1.140625" style="21" customWidth="1"/>
    <col min="13082" max="13082" width="18.28515625" style="21" customWidth="1"/>
    <col min="13083" max="13083" width="1" style="21" customWidth="1"/>
    <col min="13084" max="13084" width="27.5703125" style="21" customWidth="1"/>
    <col min="13085" max="13085" width="1" style="21" customWidth="1"/>
    <col min="13086" max="13086" width="12.7109375" style="21" customWidth="1"/>
    <col min="13087" max="13087" width="1.28515625" style="21" customWidth="1"/>
    <col min="13088" max="13088" width="11.42578125" style="21" customWidth="1"/>
    <col min="13089" max="13089" width="1" style="21" customWidth="1"/>
    <col min="13090" max="13090" width="10.42578125" style="21" customWidth="1"/>
    <col min="13091" max="13091" width="0.85546875" style="21" customWidth="1"/>
    <col min="13092" max="13092" width="14" style="21" customWidth="1"/>
    <col min="13093" max="13093" width="0.85546875" style="21" customWidth="1"/>
    <col min="13094" max="13094" width="10.42578125" style="21" customWidth="1"/>
    <col min="13095" max="13095" width="0.85546875" style="21" customWidth="1"/>
    <col min="13096" max="13096" width="14" style="21" customWidth="1"/>
    <col min="13097" max="13097" width="0.85546875" style="21" customWidth="1"/>
    <col min="13098" max="13098" width="16" style="21" customWidth="1"/>
    <col min="13099" max="13099" width="0.5703125" style="21" customWidth="1"/>
    <col min="13100" max="13100" width="9.42578125" style="21" bestFit="1" customWidth="1"/>
    <col min="13101" max="13101" width="1.140625" style="21" customWidth="1"/>
    <col min="13102" max="13332" width="9.140625" style="21"/>
    <col min="13333" max="13333" width="2.140625" style="21" customWidth="1"/>
    <col min="13334" max="13334" width="14" style="21" customWidth="1"/>
    <col min="13335" max="13335" width="0.7109375" style="21" customWidth="1"/>
    <col min="13336" max="13336" width="17.140625" style="21" customWidth="1"/>
    <col min="13337" max="13337" width="1.140625" style="21" customWidth="1"/>
    <col min="13338" max="13338" width="18.28515625" style="21" customWidth="1"/>
    <col min="13339" max="13339" width="1" style="21" customWidth="1"/>
    <col min="13340" max="13340" width="27.5703125" style="21" customWidth="1"/>
    <col min="13341" max="13341" width="1" style="21" customWidth="1"/>
    <col min="13342" max="13342" width="12.7109375" style="21" customWidth="1"/>
    <col min="13343" max="13343" width="1.28515625" style="21" customWidth="1"/>
    <col min="13344" max="13344" width="11.42578125" style="21" customWidth="1"/>
    <col min="13345" max="13345" width="1" style="21" customWidth="1"/>
    <col min="13346" max="13346" width="10.42578125" style="21" customWidth="1"/>
    <col min="13347" max="13347" width="0.85546875" style="21" customWidth="1"/>
    <col min="13348" max="13348" width="14" style="21" customWidth="1"/>
    <col min="13349" max="13349" width="0.85546875" style="21" customWidth="1"/>
    <col min="13350" max="13350" width="10.42578125" style="21" customWidth="1"/>
    <col min="13351" max="13351" width="0.85546875" style="21" customWidth="1"/>
    <col min="13352" max="13352" width="14" style="21" customWidth="1"/>
    <col min="13353" max="13353" width="0.85546875" style="21" customWidth="1"/>
    <col min="13354" max="13354" width="16" style="21" customWidth="1"/>
    <col min="13355" max="13355" width="0.5703125" style="21" customWidth="1"/>
    <col min="13356" max="13356" width="9.42578125" style="21" bestFit="1" customWidth="1"/>
    <col min="13357" max="13357" width="1.140625" style="21" customWidth="1"/>
    <col min="13358" max="13588" width="9.140625" style="21"/>
    <col min="13589" max="13589" width="2.140625" style="21" customWidth="1"/>
    <col min="13590" max="13590" width="14" style="21" customWidth="1"/>
    <col min="13591" max="13591" width="0.7109375" style="21" customWidth="1"/>
    <col min="13592" max="13592" width="17.140625" style="21" customWidth="1"/>
    <col min="13593" max="13593" width="1.140625" style="21" customWidth="1"/>
    <col min="13594" max="13594" width="18.28515625" style="21" customWidth="1"/>
    <col min="13595" max="13595" width="1" style="21" customWidth="1"/>
    <col min="13596" max="13596" width="27.5703125" style="21" customWidth="1"/>
    <col min="13597" max="13597" width="1" style="21" customWidth="1"/>
    <col min="13598" max="13598" width="12.7109375" style="21" customWidth="1"/>
    <col min="13599" max="13599" width="1.28515625" style="21" customWidth="1"/>
    <col min="13600" max="13600" width="11.42578125" style="21" customWidth="1"/>
    <col min="13601" max="13601" width="1" style="21" customWidth="1"/>
    <col min="13602" max="13602" width="10.42578125" style="21" customWidth="1"/>
    <col min="13603" max="13603" width="0.85546875" style="21" customWidth="1"/>
    <col min="13604" max="13604" width="14" style="21" customWidth="1"/>
    <col min="13605" max="13605" width="0.85546875" style="21" customWidth="1"/>
    <col min="13606" max="13606" width="10.42578125" style="21" customWidth="1"/>
    <col min="13607" max="13607" width="0.85546875" style="21" customWidth="1"/>
    <col min="13608" max="13608" width="14" style="21" customWidth="1"/>
    <col min="13609" max="13609" width="0.85546875" style="21" customWidth="1"/>
    <col min="13610" max="13610" width="16" style="21" customWidth="1"/>
    <col min="13611" max="13611" width="0.5703125" style="21" customWidth="1"/>
    <col min="13612" max="13612" width="9.42578125" style="21" bestFit="1" customWidth="1"/>
    <col min="13613" max="13613" width="1.140625" style="21" customWidth="1"/>
    <col min="13614" max="13844" width="9.140625" style="21"/>
    <col min="13845" max="13845" width="2.140625" style="21" customWidth="1"/>
    <col min="13846" max="13846" width="14" style="21" customWidth="1"/>
    <col min="13847" max="13847" width="0.7109375" style="21" customWidth="1"/>
    <col min="13848" max="13848" width="17.140625" style="21" customWidth="1"/>
    <col min="13849" max="13849" width="1.140625" style="21" customWidth="1"/>
    <col min="13850" max="13850" width="18.28515625" style="21" customWidth="1"/>
    <col min="13851" max="13851" width="1" style="21" customWidth="1"/>
    <col min="13852" max="13852" width="27.5703125" style="21" customWidth="1"/>
    <col min="13853" max="13853" width="1" style="21" customWidth="1"/>
    <col min="13854" max="13854" width="12.7109375" style="21" customWidth="1"/>
    <col min="13855" max="13855" width="1.28515625" style="21" customWidth="1"/>
    <col min="13856" max="13856" width="11.42578125" style="21" customWidth="1"/>
    <col min="13857" max="13857" width="1" style="21" customWidth="1"/>
    <col min="13858" max="13858" width="10.42578125" style="21" customWidth="1"/>
    <col min="13859" max="13859" width="0.85546875" style="21" customWidth="1"/>
    <col min="13860" max="13860" width="14" style="21" customWidth="1"/>
    <col min="13861" max="13861" width="0.85546875" style="21" customWidth="1"/>
    <col min="13862" max="13862" width="10.42578125" style="21" customWidth="1"/>
    <col min="13863" max="13863" width="0.85546875" style="21" customWidth="1"/>
    <col min="13864" max="13864" width="14" style="21" customWidth="1"/>
    <col min="13865" max="13865" width="0.85546875" style="21" customWidth="1"/>
    <col min="13866" max="13866" width="16" style="21" customWidth="1"/>
    <col min="13867" max="13867" width="0.5703125" style="21" customWidth="1"/>
    <col min="13868" max="13868" width="9.42578125" style="21" bestFit="1" customWidth="1"/>
    <col min="13869" max="13869" width="1.140625" style="21" customWidth="1"/>
    <col min="13870" max="14100" width="9.140625" style="21"/>
    <col min="14101" max="14101" width="2.140625" style="21" customWidth="1"/>
    <col min="14102" max="14102" width="14" style="21" customWidth="1"/>
    <col min="14103" max="14103" width="0.7109375" style="21" customWidth="1"/>
    <col min="14104" max="14104" width="17.140625" style="21" customWidth="1"/>
    <col min="14105" max="14105" width="1.140625" style="21" customWidth="1"/>
    <col min="14106" max="14106" width="18.28515625" style="21" customWidth="1"/>
    <col min="14107" max="14107" width="1" style="21" customWidth="1"/>
    <col min="14108" max="14108" width="27.5703125" style="21" customWidth="1"/>
    <col min="14109" max="14109" width="1" style="21" customWidth="1"/>
    <col min="14110" max="14110" width="12.7109375" style="21" customWidth="1"/>
    <col min="14111" max="14111" width="1.28515625" style="21" customWidth="1"/>
    <col min="14112" max="14112" width="11.42578125" style="21" customWidth="1"/>
    <col min="14113" max="14113" width="1" style="21" customWidth="1"/>
    <col min="14114" max="14114" width="10.42578125" style="21" customWidth="1"/>
    <col min="14115" max="14115" width="0.85546875" style="21" customWidth="1"/>
    <col min="14116" max="14116" width="14" style="21" customWidth="1"/>
    <col min="14117" max="14117" width="0.85546875" style="21" customWidth="1"/>
    <col min="14118" max="14118" width="10.42578125" style="21" customWidth="1"/>
    <col min="14119" max="14119" width="0.85546875" style="21" customWidth="1"/>
    <col min="14120" max="14120" width="14" style="21" customWidth="1"/>
    <col min="14121" max="14121" width="0.85546875" style="21" customWidth="1"/>
    <col min="14122" max="14122" width="16" style="21" customWidth="1"/>
    <col min="14123" max="14123" width="0.5703125" style="21" customWidth="1"/>
    <col min="14124" max="14124" width="9.42578125" style="21" bestFit="1" customWidth="1"/>
    <col min="14125" max="14125" width="1.140625" style="21" customWidth="1"/>
    <col min="14126" max="14356" width="9.140625" style="21"/>
    <col min="14357" max="14357" width="2.140625" style="21" customWidth="1"/>
    <col min="14358" max="14358" width="14" style="21" customWidth="1"/>
    <col min="14359" max="14359" width="0.7109375" style="21" customWidth="1"/>
    <col min="14360" max="14360" width="17.140625" style="21" customWidth="1"/>
    <col min="14361" max="14361" width="1.140625" style="21" customWidth="1"/>
    <col min="14362" max="14362" width="18.28515625" style="21" customWidth="1"/>
    <col min="14363" max="14363" width="1" style="21" customWidth="1"/>
    <col min="14364" max="14364" width="27.5703125" style="21" customWidth="1"/>
    <col min="14365" max="14365" width="1" style="21" customWidth="1"/>
    <col min="14366" max="14366" width="12.7109375" style="21" customWidth="1"/>
    <col min="14367" max="14367" width="1.28515625" style="21" customWidth="1"/>
    <col min="14368" max="14368" width="11.42578125" style="21" customWidth="1"/>
    <col min="14369" max="14369" width="1" style="21" customWidth="1"/>
    <col min="14370" max="14370" width="10.42578125" style="21" customWidth="1"/>
    <col min="14371" max="14371" width="0.85546875" style="21" customWidth="1"/>
    <col min="14372" max="14372" width="14" style="21" customWidth="1"/>
    <col min="14373" max="14373" width="0.85546875" style="21" customWidth="1"/>
    <col min="14374" max="14374" width="10.42578125" style="21" customWidth="1"/>
    <col min="14375" max="14375" width="0.85546875" style="21" customWidth="1"/>
    <col min="14376" max="14376" width="14" style="21" customWidth="1"/>
    <col min="14377" max="14377" width="0.85546875" style="21" customWidth="1"/>
    <col min="14378" max="14378" width="16" style="21" customWidth="1"/>
    <col min="14379" max="14379" width="0.5703125" style="21" customWidth="1"/>
    <col min="14380" max="14380" width="9.42578125" style="21" bestFit="1" customWidth="1"/>
    <col min="14381" max="14381" width="1.140625" style="21" customWidth="1"/>
    <col min="14382" max="14612" width="9.140625" style="21"/>
    <col min="14613" max="14613" width="2.140625" style="21" customWidth="1"/>
    <col min="14614" max="14614" width="14" style="21" customWidth="1"/>
    <col min="14615" max="14615" width="0.7109375" style="21" customWidth="1"/>
    <col min="14616" max="14616" width="17.140625" style="21" customWidth="1"/>
    <col min="14617" max="14617" width="1.140625" style="21" customWidth="1"/>
    <col min="14618" max="14618" width="18.28515625" style="21" customWidth="1"/>
    <col min="14619" max="14619" width="1" style="21" customWidth="1"/>
    <col min="14620" max="14620" width="27.5703125" style="21" customWidth="1"/>
    <col min="14621" max="14621" width="1" style="21" customWidth="1"/>
    <col min="14622" max="14622" width="12.7109375" style="21" customWidth="1"/>
    <col min="14623" max="14623" width="1.28515625" style="21" customWidth="1"/>
    <col min="14624" max="14624" width="11.42578125" style="21" customWidth="1"/>
    <col min="14625" max="14625" width="1" style="21" customWidth="1"/>
    <col min="14626" max="14626" width="10.42578125" style="21" customWidth="1"/>
    <col min="14627" max="14627" width="0.85546875" style="21" customWidth="1"/>
    <col min="14628" max="14628" width="14" style="21" customWidth="1"/>
    <col min="14629" max="14629" width="0.85546875" style="21" customWidth="1"/>
    <col min="14630" max="14630" width="10.42578125" style="21" customWidth="1"/>
    <col min="14631" max="14631" width="0.85546875" style="21" customWidth="1"/>
    <col min="14632" max="14632" width="14" style="21" customWidth="1"/>
    <col min="14633" max="14633" width="0.85546875" style="21" customWidth="1"/>
    <col min="14634" max="14634" width="16" style="21" customWidth="1"/>
    <col min="14635" max="14635" width="0.5703125" style="21" customWidth="1"/>
    <col min="14636" max="14636" width="9.42578125" style="21" bestFit="1" customWidth="1"/>
    <col min="14637" max="14637" width="1.140625" style="21" customWidth="1"/>
    <col min="14638" max="14868" width="9.140625" style="21"/>
    <col min="14869" max="14869" width="2.140625" style="21" customWidth="1"/>
    <col min="14870" max="14870" width="14" style="21" customWidth="1"/>
    <col min="14871" max="14871" width="0.7109375" style="21" customWidth="1"/>
    <col min="14872" max="14872" width="17.140625" style="21" customWidth="1"/>
    <col min="14873" max="14873" width="1.140625" style="21" customWidth="1"/>
    <col min="14874" max="14874" width="18.28515625" style="21" customWidth="1"/>
    <col min="14875" max="14875" width="1" style="21" customWidth="1"/>
    <col min="14876" max="14876" width="27.5703125" style="21" customWidth="1"/>
    <col min="14877" max="14877" width="1" style="21" customWidth="1"/>
    <col min="14878" max="14878" width="12.7109375" style="21" customWidth="1"/>
    <col min="14879" max="14879" width="1.28515625" style="21" customWidth="1"/>
    <col min="14880" max="14880" width="11.42578125" style="21" customWidth="1"/>
    <col min="14881" max="14881" width="1" style="21" customWidth="1"/>
    <col min="14882" max="14882" width="10.42578125" style="21" customWidth="1"/>
    <col min="14883" max="14883" width="0.85546875" style="21" customWidth="1"/>
    <col min="14884" max="14884" width="14" style="21" customWidth="1"/>
    <col min="14885" max="14885" width="0.85546875" style="21" customWidth="1"/>
    <col min="14886" max="14886" width="10.42578125" style="21" customWidth="1"/>
    <col min="14887" max="14887" width="0.85546875" style="21" customWidth="1"/>
    <col min="14888" max="14888" width="14" style="21" customWidth="1"/>
    <col min="14889" max="14889" width="0.85546875" style="21" customWidth="1"/>
    <col min="14890" max="14890" width="16" style="21" customWidth="1"/>
    <col min="14891" max="14891" width="0.5703125" style="21" customWidth="1"/>
    <col min="14892" max="14892" width="9.42578125" style="21" bestFit="1" customWidth="1"/>
    <col min="14893" max="14893" width="1.140625" style="21" customWidth="1"/>
    <col min="14894" max="15124" width="9.140625" style="21"/>
    <col min="15125" max="15125" width="2.140625" style="21" customWidth="1"/>
    <col min="15126" max="15126" width="14" style="21" customWidth="1"/>
    <col min="15127" max="15127" width="0.7109375" style="21" customWidth="1"/>
    <col min="15128" max="15128" width="17.140625" style="21" customWidth="1"/>
    <col min="15129" max="15129" width="1.140625" style="21" customWidth="1"/>
    <col min="15130" max="15130" width="18.28515625" style="21" customWidth="1"/>
    <col min="15131" max="15131" width="1" style="21" customWidth="1"/>
    <col min="15132" max="15132" width="27.5703125" style="21" customWidth="1"/>
    <col min="15133" max="15133" width="1" style="21" customWidth="1"/>
    <col min="15134" max="15134" width="12.7109375" style="21" customWidth="1"/>
    <col min="15135" max="15135" width="1.28515625" style="21" customWidth="1"/>
    <col min="15136" max="15136" width="11.42578125" style="21" customWidth="1"/>
    <col min="15137" max="15137" width="1" style="21" customWidth="1"/>
    <col min="15138" max="15138" width="10.42578125" style="21" customWidth="1"/>
    <col min="15139" max="15139" width="0.85546875" style="21" customWidth="1"/>
    <col min="15140" max="15140" width="14" style="21" customWidth="1"/>
    <col min="15141" max="15141" width="0.85546875" style="21" customWidth="1"/>
    <col min="15142" max="15142" width="10.42578125" style="21" customWidth="1"/>
    <col min="15143" max="15143" width="0.85546875" style="21" customWidth="1"/>
    <col min="15144" max="15144" width="14" style="21" customWidth="1"/>
    <col min="15145" max="15145" width="0.85546875" style="21" customWidth="1"/>
    <col min="15146" max="15146" width="16" style="21" customWidth="1"/>
    <col min="15147" max="15147" width="0.5703125" style="21" customWidth="1"/>
    <col min="15148" max="15148" width="9.42578125" style="21" bestFit="1" customWidth="1"/>
    <col min="15149" max="15149" width="1.140625" style="21" customWidth="1"/>
    <col min="15150" max="15380" width="9.140625" style="21"/>
    <col min="15381" max="15381" width="2.140625" style="21" customWidth="1"/>
    <col min="15382" max="15382" width="14" style="21" customWidth="1"/>
    <col min="15383" max="15383" width="0.7109375" style="21" customWidth="1"/>
    <col min="15384" max="15384" width="17.140625" style="21" customWidth="1"/>
    <col min="15385" max="15385" width="1.140625" style="21" customWidth="1"/>
    <col min="15386" max="15386" width="18.28515625" style="21" customWidth="1"/>
    <col min="15387" max="15387" width="1" style="21" customWidth="1"/>
    <col min="15388" max="15388" width="27.5703125" style="21" customWidth="1"/>
    <col min="15389" max="15389" width="1" style="21" customWidth="1"/>
    <col min="15390" max="15390" width="12.7109375" style="21" customWidth="1"/>
    <col min="15391" max="15391" width="1.28515625" style="21" customWidth="1"/>
    <col min="15392" max="15392" width="11.42578125" style="21" customWidth="1"/>
    <col min="15393" max="15393" width="1" style="21" customWidth="1"/>
    <col min="15394" max="15394" width="10.42578125" style="21" customWidth="1"/>
    <col min="15395" max="15395" width="0.85546875" style="21" customWidth="1"/>
    <col min="15396" max="15396" width="14" style="21" customWidth="1"/>
    <col min="15397" max="15397" width="0.85546875" style="21" customWidth="1"/>
    <col min="15398" max="15398" width="10.42578125" style="21" customWidth="1"/>
    <col min="15399" max="15399" width="0.85546875" style="21" customWidth="1"/>
    <col min="15400" max="15400" width="14" style="21" customWidth="1"/>
    <col min="15401" max="15401" width="0.85546875" style="21" customWidth="1"/>
    <col min="15402" max="15402" width="16" style="21" customWidth="1"/>
    <col min="15403" max="15403" width="0.5703125" style="21" customWidth="1"/>
    <col min="15404" max="15404" width="9.42578125" style="21" bestFit="1" customWidth="1"/>
    <col min="15405" max="15405" width="1.140625" style="21" customWidth="1"/>
    <col min="15406" max="15636" width="9.140625" style="21"/>
    <col min="15637" max="15637" width="2.140625" style="21" customWidth="1"/>
    <col min="15638" max="15638" width="14" style="21" customWidth="1"/>
    <col min="15639" max="15639" width="0.7109375" style="21" customWidth="1"/>
    <col min="15640" max="15640" width="17.140625" style="21" customWidth="1"/>
    <col min="15641" max="15641" width="1.140625" style="21" customWidth="1"/>
    <col min="15642" max="15642" width="18.28515625" style="21" customWidth="1"/>
    <col min="15643" max="15643" width="1" style="21" customWidth="1"/>
    <col min="15644" max="15644" width="27.5703125" style="21" customWidth="1"/>
    <col min="15645" max="15645" width="1" style="21" customWidth="1"/>
    <col min="15646" max="15646" width="12.7109375" style="21" customWidth="1"/>
    <col min="15647" max="15647" width="1.28515625" style="21" customWidth="1"/>
    <col min="15648" max="15648" width="11.42578125" style="21" customWidth="1"/>
    <col min="15649" max="15649" width="1" style="21" customWidth="1"/>
    <col min="15650" max="15650" width="10.42578125" style="21" customWidth="1"/>
    <col min="15651" max="15651" width="0.85546875" style="21" customWidth="1"/>
    <col min="15652" max="15652" width="14" style="21" customWidth="1"/>
    <col min="15653" max="15653" width="0.85546875" style="21" customWidth="1"/>
    <col min="15654" max="15654" width="10.42578125" style="21" customWidth="1"/>
    <col min="15655" max="15655" width="0.85546875" style="21" customWidth="1"/>
    <col min="15656" max="15656" width="14" style="21" customWidth="1"/>
    <col min="15657" max="15657" width="0.85546875" style="21" customWidth="1"/>
    <col min="15658" max="15658" width="16" style="21" customWidth="1"/>
    <col min="15659" max="15659" width="0.5703125" style="21" customWidth="1"/>
    <col min="15660" max="15660" width="9.42578125" style="21" bestFit="1" customWidth="1"/>
    <col min="15661" max="15661" width="1.140625" style="21" customWidth="1"/>
    <col min="15662" max="15892" width="9.140625" style="21"/>
    <col min="15893" max="15893" width="2.140625" style="21" customWidth="1"/>
    <col min="15894" max="15894" width="14" style="21" customWidth="1"/>
    <col min="15895" max="15895" width="0.7109375" style="21" customWidth="1"/>
    <col min="15896" max="15896" width="17.140625" style="21" customWidth="1"/>
    <col min="15897" max="15897" width="1.140625" style="21" customWidth="1"/>
    <col min="15898" max="15898" width="18.28515625" style="21" customWidth="1"/>
    <col min="15899" max="15899" width="1" style="21" customWidth="1"/>
    <col min="15900" max="15900" width="27.5703125" style="21" customWidth="1"/>
    <col min="15901" max="15901" width="1" style="21" customWidth="1"/>
    <col min="15902" max="15902" width="12.7109375" style="21" customWidth="1"/>
    <col min="15903" max="15903" width="1.28515625" style="21" customWidth="1"/>
    <col min="15904" max="15904" width="11.42578125" style="21" customWidth="1"/>
    <col min="15905" max="15905" width="1" style="21" customWidth="1"/>
    <col min="15906" max="15906" width="10.42578125" style="21" customWidth="1"/>
    <col min="15907" max="15907" width="0.85546875" style="21" customWidth="1"/>
    <col min="15908" max="15908" width="14" style="21" customWidth="1"/>
    <col min="15909" max="15909" width="0.85546875" style="21" customWidth="1"/>
    <col min="15910" max="15910" width="10.42578125" style="21" customWidth="1"/>
    <col min="15911" max="15911" width="0.85546875" style="21" customWidth="1"/>
    <col min="15912" max="15912" width="14" style="21" customWidth="1"/>
    <col min="15913" max="15913" width="0.85546875" style="21" customWidth="1"/>
    <col min="15914" max="15914" width="16" style="21" customWidth="1"/>
    <col min="15915" max="15915" width="0.5703125" style="21" customWidth="1"/>
    <col min="15916" max="15916" width="9.42578125" style="21" bestFit="1" customWidth="1"/>
    <col min="15917" max="15917" width="1.140625" style="21" customWidth="1"/>
    <col min="15918" max="16148" width="9.140625" style="21"/>
    <col min="16149" max="16149" width="2.140625" style="21" customWidth="1"/>
    <col min="16150" max="16150" width="14" style="21" customWidth="1"/>
    <col min="16151" max="16151" width="0.7109375" style="21" customWidth="1"/>
    <col min="16152" max="16152" width="17.140625" style="21" customWidth="1"/>
    <col min="16153" max="16153" width="1.140625" style="21" customWidth="1"/>
    <col min="16154" max="16154" width="18.28515625" style="21" customWidth="1"/>
    <col min="16155" max="16155" width="1" style="21" customWidth="1"/>
    <col min="16156" max="16156" width="27.5703125" style="21" customWidth="1"/>
    <col min="16157" max="16157" width="1" style="21" customWidth="1"/>
    <col min="16158" max="16158" width="12.7109375" style="21" customWidth="1"/>
    <col min="16159" max="16159" width="1.28515625" style="21" customWidth="1"/>
    <col min="16160" max="16160" width="11.42578125" style="21" customWidth="1"/>
    <col min="16161" max="16161" width="1" style="21" customWidth="1"/>
    <col min="16162" max="16162" width="10.42578125" style="21" customWidth="1"/>
    <col min="16163" max="16163" width="0.85546875" style="21" customWidth="1"/>
    <col min="16164" max="16164" width="14" style="21" customWidth="1"/>
    <col min="16165" max="16165" width="0.85546875" style="21" customWidth="1"/>
    <col min="16166" max="16166" width="10.42578125" style="21" customWidth="1"/>
    <col min="16167" max="16167" width="0.85546875" style="21" customWidth="1"/>
    <col min="16168" max="16168" width="14" style="21" customWidth="1"/>
    <col min="16169" max="16169" width="0.85546875" style="21" customWidth="1"/>
    <col min="16170" max="16170" width="16" style="21" customWidth="1"/>
    <col min="16171" max="16171" width="0.5703125" style="21" customWidth="1"/>
    <col min="16172" max="16172" width="9.42578125" style="21" bestFit="1" customWidth="1"/>
    <col min="16173" max="16173" width="1.140625" style="21" customWidth="1"/>
    <col min="16174" max="16384" width="9.140625" style="21"/>
  </cols>
  <sheetData>
    <row r="1" spans="1:62" ht="51" x14ac:dyDescent="0.2">
      <c r="A1" s="193" t="s">
        <v>9</v>
      </c>
      <c r="B1" s="115"/>
      <c r="C1" s="193" t="s">
        <v>39</v>
      </c>
      <c r="D1" s="115"/>
      <c r="E1" s="193" t="s">
        <v>0</v>
      </c>
      <c r="F1" s="193"/>
      <c r="G1" s="193" t="s">
        <v>1</v>
      </c>
      <c r="H1" s="193"/>
      <c r="I1" s="194" t="s">
        <v>4</v>
      </c>
      <c r="J1" s="115"/>
      <c r="K1" s="193" t="s">
        <v>2</v>
      </c>
      <c r="L1" s="115"/>
      <c r="M1" s="193" t="s">
        <v>7</v>
      </c>
      <c r="N1" s="115"/>
      <c r="O1" s="193" t="s">
        <v>8</v>
      </c>
      <c r="P1" s="193" t="s">
        <v>23</v>
      </c>
      <c r="Q1" s="195" t="s">
        <v>5</v>
      </c>
      <c r="R1" s="115"/>
      <c r="S1" s="194" t="s">
        <v>6</v>
      </c>
      <c r="T1" s="115"/>
      <c r="U1" s="196" t="s">
        <v>560</v>
      </c>
      <c r="V1" s="115"/>
      <c r="W1" s="197" t="s">
        <v>561</v>
      </c>
      <c r="X1" s="115"/>
      <c r="Y1" s="196" t="s">
        <v>676</v>
      </c>
      <c r="Z1" s="198"/>
      <c r="AA1" s="197" t="s">
        <v>677</v>
      </c>
      <c r="AB1" s="198"/>
      <c r="AC1" s="196" t="s">
        <v>678</v>
      </c>
      <c r="AD1" s="198"/>
      <c r="AE1" s="197" t="s">
        <v>679</v>
      </c>
      <c r="AF1" s="196" t="s">
        <v>680</v>
      </c>
      <c r="AG1" s="198"/>
      <c r="AH1" s="197" t="s">
        <v>681</v>
      </c>
      <c r="AI1" s="196" t="s">
        <v>773</v>
      </c>
      <c r="AJ1" s="198"/>
      <c r="AK1" s="197" t="s">
        <v>774</v>
      </c>
      <c r="AL1" s="196" t="s">
        <v>775</v>
      </c>
      <c r="AM1" s="198"/>
      <c r="AN1" s="197" t="s">
        <v>776</v>
      </c>
      <c r="AO1" s="197"/>
      <c r="AP1" s="196" t="s">
        <v>871</v>
      </c>
      <c r="AQ1" s="197" t="s">
        <v>872</v>
      </c>
      <c r="AR1" s="197"/>
      <c r="AS1" s="196" t="s">
        <v>873</v>
      </c>
      <c r="AT1" s="197" t="s">
        <v>874</v>
      </c>
      <c r="AU1" s="197"/>
      <c r="AV1" s="313" t="s">
        <v>781</v>
      </c>
      <c r="AW1" s="317" t="s">
        <v>24</v>
      </c>
      <c r="AX1" s="318" t="s">
        <v>3</v>
      </c>
    </row>
    <row r="2" spans="1:62" ht="159.6" customHeight="1" x14ac:dyDescent="0.2">
      <c r="A2" s="120" t="s">
        <v>31</v>
      </c>
      <c r="B2" s="121"/>
      <c r="C2" s="122" t="s">
        <v>38</v>
      </c>
      <c r="D2" s="159"/>
      <c r="E2" s="123" t="s">
        <v>36</v>
      </c>
      <c r="F2" s="122"/>
      <c r="G2" s="123" t="s">
        <v>511</v>
      </c>
      <c r="H2" s="122"/>
      <c r="I2" s="122" t="s">
        <v>687</v>
      </c>
      <c r="J2" s="159"/>
      <c r="K2" s="122" t="s">
        <v>32</v>
      </c>
      <c r="L2" s="159"/>
      <c r="M2" s="122" t="s">
        <v>38</v>
      </c>
      <c r="N2" s="159"/>
      <c r="O2" s="159">
        <v>2004</v>
      </c>
      <c r="P2" s="121" t="s">
        <v>33</v>
      </c>
      <c r="Q2" s="140"/>
      <c r="R2" s="159"/>
      <c r="S2" s="140">
        <v>17000000</v>
      </c>
      <c r="T2" s="159"/>
      <c r="U2" s="159"/>
      <c r="V2" s="159"/>
      <c r="W2" s="140">
        <v>17194581</v>
      </c>
      <c r="X2" s="159"/>
      <c r="Y2" s="140"/>
      <c r="Z2" s="159"/>
      <c r="AA2" s="140">
        <v>17443114.859999999</v>
      </c>
      <c r="AB2" s="159"/>
      <c r="AC2" s="159"/>
      <c r="AD2" s="159"/>
      <c r="AE2" s="140">
        <v>17319283.120000001</v>
      </c>
      <c r="AF2" s="159"/>
      <c r="AG2" s="159"/>
      <c r="AH2" s="140">
        <v>26166213</v>
      </c>
      <c r="AI2" s="159"/>
      <c r="AJ2" s="159"/>
      <c r="AK2" s="140">
        <v>28111370</v>
      </c>
      <c r="AL2" s="159"/>
      <c r="AM2" s="159"/>
      <c r="AN2" s="140">
        <v>28811985</v>
      </c>
      <c r="AO2" s="140"/>
      <c r="AP2" s="140"/>
      <c r="AQ2" s="140"/>
      <c r="AR2" s="140"/>
      <c r="AS2" s="140"/>
      <c r="AT2" s="140"/>
      <c r="AU2" s="140"/>
      <c r="AV2" s="315"/>
      <c r="AW2" s="290" t="s">
        <v>35</v>
      </c>
      <c r="AX2" s="290" t="s">
        <v>34</v>
      </c>
    </row>
    <row r="3" spans="1:62" ht="118.5" customHeight="1" x14ac:dyDescent="0.2">
      <c r="A3" s="199" t="s">
        <v>31</v>
      </c>
      <c r="B3" s="200"/>
      <c r="C3" s="201" t="s">
        <v>507</v>
      </c>
      <c r="D3" s="202"/>
      <c r="E3" s="203" t="s">
        <v>42</v>
      </c>
      <c r="F3" s="201"/>
      <c r="G3" s="203" t="s">
        <v>43</v>
      </c>
      <c r="H3" s="201"/>
      <c r="I3" s="201" t="s">
        <v>46</v>
      </c>
      <c r="J3" s="202"/>
      <c r="K3" s="201" t="s">
        <v>44</v>
      </c>
      <c r="L3" s="202"/>
      <c r="M3" s="201" t="s">
        <v>507</v>
      </c>
      <c r="N3" s="202"/>
      <c r="O3" s="202"/>
      <c r="P3" s="200" t="s">
        <v>45</v>
      </c>
      <c r="Q3" s="202">
        <v>1</v>
      </c>
      <c r="R3" s="202"/>
      <c r="S3" s="204">
        <v>220000</v>
      </c>
      <c r="T3" s="202"/>
      <c r="U3" s="202"/>
      <c r="V3" s="202"/>
      <c r="W3" s="204">
        <v>590452</v>
      </c>
      <c r="X3" s="202"/>
      <c r="Y3" s="202"/>
      <c r="Z3" s="202"/>
      <c r="AA3" s="204"/>
      <c r="AB3" s="202"/>
      <c r="AC3" s="202"/>
      <c r="AD3" s="202"/>
      <c r="AE3" s="204"/>
      <c r="AF3" s="202"/>
      <c r="AG3" s="202"/>
      <c r="AH3" s="204"/>
      <c r="AI3" s="202"/>
      <c r="AJ3" s="202"/>
      <c r="AK3" s="204"/>
      <c r="AL3" s="202"/>
      <c r="AM3" s="202"/>
      <c r="AN3" s="314"/>
      <c r="AO3" s="314"/>
      <c r="AP3" s="314"/>
      <c r="AQ3" s="314"/>
      <c r="AR3" s="314"/>
      <c r="AS3" s="314"/>
      <c r="AT3" s="314"/>
      <c r="AU3" s="314"/>
      <c r="AW3" s="24" t="s">
        <v>512</v>
      </c>
      <c r="AX3" s="24" t="s">
        <v>47</v>
      </c>
    </row>
    <row r="4" spans="1:62" s="37" customFormat="1" ht="24" customHeight="1" x14ac:dyDescent="0.2">
      <c r="A4" s="437" t="s">
        <v>559</v>
      </c>
      <c r="B4" s="438"/>
      <c r="C4" s="438"/>
      <c r="D4" s="308"/>
      <c r="E4" s="309"/>
      <c r="F4" s="310"/>
      <c r="G4" s="309"/>
      <c r="H4" s="310"/>
      <c r="I4" s="310"/>
      <c r="J4" s="308"/>
      <c r="K4" s="310"/>
      <c r="L4" s="308"/>
      <c r="M4" s="308"/>
      <c r="N4" s="308"/>
      <c r="O4" s="308"/>
      <c r="P4" s="307"/>
      <c r="Q4" s="308"/>
      <c r="R4" s="308"/>
      <c r="S4" s="311">
        <f>SUM(S2:S3)</f>
        <v>17220000</v>
      </c>
      <c r="T4" s="308"/>
      <c r="U4" s="299"/>
      <c r="V4" s="308"/>
      <c r="W4" s="311">
        <f>SUM(W2:W3)</f>
        <v>17785033</v>
      </c>
      <c r="X4" s="308"/>
      <c r="Y4" s="308"/>
      <c r="Z4" s="308"/>
      <c r="AA4" s="311">
        <f>AA2</f>
        <v>17443114.859999999</v>
      </c>
      <c r="AB4" s="308"/>
      <c r="AC4" s="299"/>
      <c r="AD4" s="308"/>
      <c r="AE4" s="311">
        <f>AE2</f>
        <v>17319283.120000001</v>
      </c>
      <c r="AF4" s="299"/>
      <c r="AG4" s="308"/>
      <c r="AH4" s="311">
        <f>SUM(AH2:AH3)</f>
        <v>26166213</v>
      </c>
      <c r="AI4" s="299"/>
      <c r="AJ4" s="308"/>
      <c r="AK4" s="311">
        <f>SUM(AK2:AK3)</f>
        <v>28111370</v>
      </c>
      <c r="AL4" s="299"/>
      <c r="AM4" s="308"/>
      <c r="AN4" s="311">
        <f>SUM(AN2:AN3)</f>
        <v>28811985</v>
      </c>
      <c r="AO4" s="311"/>
      <c r="AP4" s="311"/>
      <c r="AQ4" s="311"/>
      <c r="AR4" s="311"/>
      <c r="AS4" s="311"/>
      <c r="AT4" s="311"/>
      <c r="AU4" s="311"/>
      <c r="AV4" s="312"/>
      <c r="AW4" s="307"/>
      <c r="AX4" s="297"/>
      <c r="AY4" s="316"/>
      <c r="AZ4" s="316"/>
      <c r="BA4" s="316"/>
      <c r="BB4" s="316"/>
      <c r="BC4" s="316"/>
      <c r="BD4" s="316"/>
      <c r="BE4" s="316"/>
      <c r="BF4" s="316"/>
      <c r="BG4" s="316"/>
      <c r="BH4" s="316"/>
      <c r="BI4" s="316"/>
      <c r="BJ4" s="316"/>
    </row>
    <row r="5" spans="1:62" s="22" customFormat="1" ht="57.6" customHeight="1" x14ac:dyDescent="0.2">
      <c r="A5" s="439"/>
      <c r="B5" s="439"/>
      <c r="C5" s="439"/>
      <c r="D5" s="439"/>
      <c r="E5" s="439"/>
      <c r="F5" s="439"/>
      <c r="G5" s="439"/>
      <c r="H5" s="126"/>
      <c r="I5" s="126"/>
      <c r="J5" s="127"/>
      <c r="K5" s="126"/>
      <c r="L5" s="127"/>
      <c r="M5" s="127"/>
      <c r="N5" s="127"/>
      <c r="O5" s="127"/>
      <c r="Q5" s="127"/>
      <c r="R5" s="127"/>
      <c r="S5" s="136"/>
      <c r="T5" s="127"/>
      <c r="U5" s="127"/>
      <c r="V5" s="127"/>
      <c r="W5" s="136"/>
      <c r="X5" s="127"/>
      <c r="Y5" s="127"/>
      <c r="Z5" s="127"/>
      <c r="AA5" s="136"/>
      <c r="AB5" s="127"/>
      <c r="AC5" s="127"/>
      <c r="AD5" s="127"/>
      <c r="AE5" s="136"/>
      <c r="AF5" s="127"/>
      <c r="AG5" s="127"/>
      <c r="AH5" s="136"/>
      <c r="AI5" s="127"/>
      <c r="AJ5" s="127"/>
      <c r="AK5" s="136"/>
      <c r="AL5" s="127"/>
      <c r="AM5" s="127"/>
      <c r="AN5" s="136"/>
      <c r="AO5" s="136"/>
      <c r="AP5" s="136"/>
      <c r="AQ5" s="136"/>
      <c r="AR5" s="136"/>
      <c r="AS5" s="136"/>
      <c r="AT5" s="136"/>
      <c r="AU5" s="136"/>
      <c r="AV5" s="155"/>
    </row>
    <row r="6" spans="1:62" s="165" customFormat="1" ht="19.899999999999999" customHeight="1" x14ac:dyDescent="0.2">
      <c r="A6" s="166"/>
      <c r="C6" s="167"/>
      <c r="D6" s="168"/>
      <c r="E6" s="169"/>
      <c r="F6" s="167"/>
      <c r="G6" s="169"/>
      <c r="H6" s="167"/>
      <c r="I6" s="167"/>
      <c r="J6" s="168"/>
      <c r="K6" s="168"/>
      <c r="L6" s="168"/>
      <c r="M6" s="168"/>
      <c r="N6" s="168"/>
      <c r="O6" s="168"/>
      <c r="Q6" s="168"/>
      <c r="R6" s="168"/>
      <c r="S6" s="170"/>
      <c r="T6" s="168"/>
      <c r="U6" s="168"/>
      <c r="V6" s="168"/>
      <c r="W6" s="168"/>
      <c r="X6" s="168"/>
      <c r="Y6" s="168"/>
      <c r="Z6" s="168"/>
      <c r="AA6" s="170"/>
      <c r="AB6" s="168"/>
      <c r="AC6" s="168"/>
      <c r="AD6" s="168"/>
      <c r="AE6" s="168"/>
      <c r="AF6" s="168"/>
      <c r="AG6" s="168"/>
      <c r="AH6" s="168"/>
      <c r="AI6" s="168"/>
      <c r="AJ6" s="168"/>
      <c r="AK6" s="168"/>
      <c r="AL6" s="168"/>
      <c r="AM6" s="168"/>
      <c r="AN6" s="168"/>
      <c r="AO6" s="168"/>
      <c r="AP6" s="168"/>
      <c r="AQ6" s="168"/>
      <c r="AR6" s="168"/>
      <c r="AS6" s="168"/>
      <c r="AT6" s="168"/>
      <c r="AU6" s="168"/>
      <c r="AV6" s="155"/>
    </row>
    <row r="7" spans="1:62" s="22" customFormat="1" x14ac:dyDescent="0.2">
      <c r="A7" s="125"/>
      <c r="B7" s="124"/>
      <c r="C7" s="126"/>
      <c r="D7" s="127"/>
      <c r="E7" s="128"/>
      <c r="F7" s="126"/>
      <c r="G7" s="128"/>
      <c r="H7" s="126"/>
      <c r="I7" s="126"/>
      <c r="J7" s="127"/>
      <c r="K7" s="126"/>
      <c r="L7" s="127"/>
      <c r="M7" s="127"/>
      <c r="N7" s="127"/>
      <c r="O7" s="127"/>
      <c r="Q7" s="127"/>
      <c r="R7" s="127"/>
      <c r="S7" s="136"/>
      <c r="T7" s="127"/>
      <c r="U7" s="127"/>
      <c r="V7" s="127"/>
      <c r="W7" s="136"/>
      <c r="X7" s="127"/>
      <c r="Y7" s="127"/>
      <c r="Z7" s="127"/>
      <c r="AA7" s="136"/>
      <c r="AB7" s="127"/>
      <c r="AC7" s="127"/>
      <c r="AD7" s="127"/>
      <c r="AE7" s="136"/>
      <c r="AF7" s="127"/>
      <c r="AG7" s="127"/>
      <c r="AH7" s="136"/>
      <c r="AI7" s="127"/>
      <c r="AJ7" s="127"/>
      <c r="AK7" s="136"/>
      <c r="AL7" s="127"/>
      <c r="AM7" s="127"/>
      <c r="AN7" s="136"/>
      <c r="AO7" s="136"/>
      <c r="AP7" s="136"/>
      <c r="AQ7" s="136"/>
      <c r="AR7" s="136"/>
      <c r="AS7" s="136"/>
      <c r="AT7" s="136"/>
      <c r="AU7" s="136"/>
      <c r="AV7" s="155"/>
    </row>
    <row r="8" spans="1:62" s="22" customFormat="1" x14ac:dyDescent="0.2">
      <c r="A8" s="125"/>
      <c r="B8" s="124"/>
      <c r="C8" s="126"/>
      <c r="D8" s="127"/>
      <c r="E8" s="128"/>
      <c r="F8" s="126"/>
      <c r="G8" s="128"/>
      <c r="H8" s="126"/>
      <c r="I8" s="126"/>
      <c r="J8" s="127"/>
      <c r="K8" s="126"/>
      <c r="L8" s="127"/>
      <c r="M8" s="126"/>
      <c r="N8" s="127"/>
      <c r="O8" s="127"/>
      <c r="Q8" s="127"/>
      <c r="R8" s="127"/>
      <c r="S8" s="136"/>
      <c r="T8" s="127"/>
      <c r="U8" s="127"/>
      <c r="V8" s="127"/>
      <c r="W8" s="136"/>
      <c r="X8" s="127"/>
      <c r="Y8" s="127"/>
      <c r="Z8" s="127"/>
      <c r="AA8" s="136"/>
      <c r="AB8" s="127"/>
      <c r="AC8" s="127"/>
      <c r="AD8" s="127"/>
      <c r="AE8" s="136"/>
      <c r="AF8" s="127"/>
      <c r="AG8" s="127"/>
      <c r="AH8" s="136"/>
      <c r="AI8" s="127"/>
      <c r="AJ8" s="127"/>
      <c r="AK8" s="136"/>
      <c r="AL8" s="127"/>
      <c r="AM8" s="127"/>
      <c r="AN8" s="136"/>
      <c r="AO8" s="136"/>
      <c r="AP8" s="136"/>
      <c r="AQ8" s="136"/>
      <c r="AR8" s="136"/>
      <c r="AS8" s="136"/>
      <c r="AT8" s="136"/>
      <c r="AU8" s="136"/>
      <c r="AV8" s="155"/>
    </row>
    <row r="9" spans="1:62" s="22" customFormat="1" x14ac:dyDescent="0.2">
      <c r="A9" s="125"/>
      <c r="B9" s="124"/>
      <c r="C9" s="126"/>
      <c r="D9" s="127"/>
      <c r="E9" s="128"/>
      <c r="F9" s="126"/>
      <c r="G9" s="128"/>
      <c r="H9" s="126"/>
      <c r="I9" s="126"/>
      <c r="J9" s="127"/>
      <c r="K9" s="126"/>
      <c r="L9" s="127"/>
      <c r="M9" s="127"/>
      <c r="N9" s="127"/>
      <c r="O9" s="127"/>
      <c r="Q9" s="127"/>
      <c r="R9" s="127"/>
      <c r="S9" s="136"/>
      <c r="T9" s="127"/>
      <c r="U9" s="127"/>
      <c r="V9" s="127"/>
      <c r="W9" s="136"/>
      <c r="X9" s="127"/>
      <c r="Y9" s="127"/>
      <c r="Z9" s="127"/>
      <c r="AA9" s="136"/>
      <c r="AB9" s="127"/>
      <c r="AC9" s="127"/>
      <c r="AD9" s="127"/>
      <c r="AE9" s="136"/>
      <c r="AF9" s="127"/>
      <c r="AG9" s="127"/>
      <c r="AH9" s="136"/>
      <c r="AI9" s="127"/>
      <c r="AJ9" s="127"/>
      <c r="AK9" s="136"/>
      <c r="AL9" s="127"/>
      <c r="AM9" s="127"/>
      <c r="AN9" s="136"/>
      <c r="AO9" s="136"/>
      <c r="AP9" s="136"/>
      <c r="AQ9" s="136"/>
      <c r="AR9" s="136"/>
      <c r="AS9" s="136"/>
      <c r="AT9" s="136"/>
      <c r="AU9" s="136"/>
      <c r="AV9" s="155"/>
    </row>
    <row r="10" spans="1:62" s="22" customFormat="1" x14ac:dyDescent="0.2">
      <c r="A10" s="125"/>
      <c r="B10" s="124"/>
      <c r="C10" s="126"/>
      <c r="D10" s="127"/>
      <c r="E10" s="128"/>
      <c r="F10" s="126"/>
      <c r="G10" s="128"/>
      <c r="H10" s="126"/>
      <c r="I10" s="126"/>
      <c r="J10" s="127"/>
      <c r="K10" s="126"/>
      <c r="L10" s="127"/>
      <c r="M10" s="127"/>
      <c r="N10" s="127"/>
      <c r="O10" s="127"/>
      <c r="Q10" s="127"/>
      <c r="R10" s="127"/>
      <c r="S10" s="136"/>
      <c r="T10" s="127"/>
      <c r="U10" s="127"/>
      <c r="V10" s="127"/>
      <c r="W10" s="136"/>
      <c r="X10" s="127"/>
      <c r="Y10" s="127"/>
      <c r="Z10" s="127"/>
      <c r="AA10" s="136"/>
      <c r="AB10" s="127"/>
      <c r="AC10" s="127"/>
      <c r="AD10" s="127"/>
      <c r="AE10" s="136"/>
      <c r="AF10" s="127"/>
      <c r="AG10" s="127"/>
      <c r="AH10" s="136"/>
      <c r="AI10" s="127"/>
      <c r="AJ10" s="127"/>
      <c r="AK10" s="136"/>
      <c r="AL10" s="127"/>
      <c r="AM10" s="127"/>
      <c r="AN10" s="136"/>
      <c r="AO10" s="136"/>
      <c r="AP10" s="136"/>
      <c r="AQ10" s="136"/>
      <c r="AR10" s="136"/>
      <c r="AS10" s="136"/>
      <c r="AT10" s="136"/>
      <c r="AU10" s="136"/>
      <c r="AV10" s="155"/>
    </row>
    <row r="11" spans="1:62" s="22" customFormat="1" x14ac:dyDescent="0.2">
      <c r="A11" s="125"/>
      <c r="B11" s="124"/>
      <c r="C11" s="126"/>
      <c r="D11" s="127"/>
      <c r="E11" s="128"/>
      <c r="F11" s="126"/>
      <c r="G11" s="128"/>
      <c r="H11" s="126"/>
      <c r="I11" s="126"/>
      <c r="J11" s="127"/>
      <c r="K11" s="126"/>
      <c r="L11" s="127"/>
      <c r="M11" s="127"/>
      <c r="N11" s="127"/>
      <c r="O11" s="127"/>
      <c r="Q11" s="127"/>
      <c r="R11" s="127"/>
      <c r="S11" s="136"/>
      <c r="T11" s="127"/>
      <c r="U11" s="127"/>
      <c r="V11" s="127"/>
      <c r="W11" s="136"/>
      <c r="X11" s="127"/>
      <c r="Y11" s="127"/>
      <c r="Z11" s="127"/>
      <c r="AA11" s="136"/>
      <c r="AB11" s="127"/>
      <c r="AC11" s="127"/>
      <c r="AD11" s="127"/>
      <c r="AE11" s="136"/>
      <c r="AF11" s="127"/>
      <c r="AG11" s="127"/>
      <c r="AH11" s="136"/>
      <c r="AI11" s="127"/>
      <c r="AJ11" s="127"/>
      <c r="AK11" s="136"/>
      <c r="AL11" s="127"/>
      <c r="AM11" s="127"/>
      <c r="AN11" s="136"/>
      <c r="AO11" s="136"/>
      <c r="AP11" s="136"/>
      <c r="AQ11" s="136"/>
      <c r="AR11" s="136"/>
      <c r="AS11" s="136"/>
      <c r="AT11" s="136"/>
      <c r="AU11" s="136"/>
      <c r="AV11" s="155"/>
    </row>
    <row r="12" spans="1:62" s="22" customFormat="1" x14ac:dyDescent="0.2">
      <c r="A12" s="125"/>
      <c r="B12" s="124"/>
      <c r="C12" s="126"/>
      <c r="D12" s="127"/>
      <c r="E12" s="128"/>
      <c r="F12" s="126"/>
      <c r="G12" s="128"/>
      <c r="H12" s="126"/>
      <c r="I12" s="126"/>
      <c r="J12" s="127"/>
      <c r="K12" s="126"/>
      <c r="L12" s="127"/>
      <c r="M12" s="127"/>
      <c r="N12" s="127"/>
      <c r="O12" s="127"/>
      <c r="Q12" s="127"/>
      <c r="R12" s="127"/>
      <c r="S12" s="136"/>
      <c r="T12" s="127"/>
      <c r="U12" s="127"/>
      <c r="V12" s="127"/>
      <c r="W12" s="136"/>
      <c r="X12" s="127"/>
      <c r="Y12" s="127"/>
      <c r="Z12" s="127"/>
      <c r="AA12" s="136"/>
      <c r="AB12" s="127"/>
      <c r="AC12" s="127"/>
      <c r="AD12" s="127"/>
      <c r="AE12" s="136"/>
      <c r="AF12" s="127"/>
      <c r="AG12" s="127"/>
      <c r="AH12" s="136"/>
      <c r="AI12" s="127"/>
      <c r="AJ12" s="127"/>
      <c r="AK12" s="136"/>
      <c r="AL12" s="127"/>
      <c r="AM12" s="127"/>
      <c r="AN12" s="136"/>
      <c r="AO12" s="136"/>
      <c r="AP12" s="136"/>
      <c r="AQ12" s="136"/>
      <c r="AR12" s="136"/>
      <c r="AS12" s="136"/>
      <c r="AT12" s="136"/>
      <c r="AU12" s="136"/>
      <c r="AV12" s="155"/>
    </row>
    <row r="13" spans="1:62" s="22" customFormat="1" x14ac:dyDescent="0.2">
      <c r="A13" s="125"/>
      <c r="B13" s="124"/>
      <c r="C13" s="126"/>
      <c r="D13" s="127"/>
      <c r="E13" s="128"/>
      <c r="F13" s="126"/>
      <c r="G13" s="128"/>
      <c r="H13" s="126"/>
      <c r="I13" s="126"/>
      <c r="J13" s="127"/>
      <c r="K13" s="126"/>
      <c r="L13" s="127"/>
      <c r="M13" s="127"/>
      <c r="N13" s="127"/>
      <c r="O13" s="127"/>
      <c r="Q13" s="127"/>
      <c r="R13" s="127"/>
      <c r="S13" s="136"/>
      <c r="T13" s="127"/>
      <c r="U13" s="127"/>
      <c r="V13" s="127"/>
      <c r="W13" s="136"/>
      <c r="X13" s="127"/>
      <c r="Y13" s="127"/>
      <c r="Z13" s="127"/>
      <c r="AA13" s="136"/>
      <c r="AB13" s="127"/>
      <c r="AC13" s="127"/>
      <c r="AD13" s="127"/>
      <c r="AE13" s="136"/>
      <c r="AF13" s="127"/>
      <c r="AG13" s="127"/>
      <c r="AH13" s="136"/>
      <c r="AI13" s="127"/>
      <c r="AJ13" s="127"/>
      <c r="AK13" s="136"/>
      <c r="AL13" s="127"/>
      <c r="AM13" s="127"/>
      <c r="AN13" s="136"/>
      <c r="AO13" s="136"/>
      <c r="AP13" s="136"/>
      <c r="AQ13" s="136"/>
      <c r="AR13" s="136"/>
      <c r="AS13" s="136"/>
      <c r="AT13" s="136"/>
      <c r="AU13" s="136"/>
      <c r="AV13" s="155"/>
    </row>
    <row r="14" spans="1:62" s="22" customFormat="1" x14ac:dyDescent="0.2">
      <c r="A14" s="125"/>
      <c r="B14" s="124"/>
      <c r="C14" s="126"/>
      <c r="D14" s="127"/>
      <c r="E14" s="128"/>
      <c r="F14" s="126"/>
      <c r="G14" s="128"/>
      <c r="H14" s="126"/>
      <c r="I14" s="126"/>
      <c r="J14" s="127"/>
      <c r="K14" s="126"/>
      <c r="L14" s="127"/>
      <c r="M14" s="127"/>
      <c r="N14" s="127"/>
      <c r="O14" s="127"/>
      <c r="Q14" s="127"/>
      <c r="R14" s="127"/>
      <c r="S14" s="136"/>
      <c r="T14" s="127"/>
      <c r="U14" s="127"/>
      <c r="V14" s="127"/>
      <c r="W14" s="136"/>
      <c r="X14" s="127"/>
      <c r="Y14" s="127"/>
      <c r="Z14" s="127"/>
      <c r="AA14" s="136"/>
      <c r="AB14" s="127"/>
      <c r="AC14" s="127"/>
      <c r="AD14" s="127"/>
      <c r="AE14" s="136"/>
      <c r="AF14" s="127"/>
      <c r="AG14" s="127"/>
      <c r="AH14" s="136"/>
      <c r="AI14" s="127"/>
      <c r="AJ14" s="127"/>
      <c r="AK14" s="136"/>
      <c r="AL14" s="127"/>
      <c r="AM14" s="127"/>
      <c r="AN14" s="136"/>
      <c r="AO14" s="136"/>
      <c r="AP14" s="136"/>
      <c r="AQ14" s="136"/>
      <c r="AR14" s="136"/>
      <c r="AS14" s="136"/>
      <c r="AT14" s="136"/>
      <c r="AU14" s="136"/>
      <c r="AV14" s="155"/>
    </row>
    <row r="15" spans="1:62" s="22" customFormat="1" x14ac:dyDescent="0.2">
      <c r="A15" s="125"/>
      <c r="B15" s="124"/>
      <c r="C15" s="126"/>
      <c r="D15" s="127"/>
      <c r="E15" s="128"/>
      <c r="F15" s="126"/>
      <c r="G15" s="128"/>
      <c r="H15" s="126"/>
      <c r="I15" s="126"/>
      <c r="J15" s="127"/>
      <c r="K15" s="126"/>
      <c r="L15" s="127"/>
      <c r="M15" s="127"/>
      <c r="N15" s="127"/>
      <c r="O15" s="127"/>
      <c r="Q15" s="127"/>
      <c r="R15" s="127"/>
      <c r="S15" s="136"/>
      <c r="T15" s="127"/>
      <c r="U15" s="127"/>
      <c r="V15" s="127"/>
      <c r="W15" s="136"/>
      <c r="X15" s="127"/>
      <c r="Y15" s="127"/>
      <c r="Z15" s="127"/>
      <c r="AA15" s="136"/>
      <c r="AB15" s="127"/>
      <c r="AC15" s="127"/>
      <c r="AD15" s="127"/>
      <c r="AE15" s="136"/>
      <c r="AF15" s="127"/>
      <c r="AG15" s="127"/>
      <c r="AH15" s="136"/>
      <c r="AI15" s="127"/>
      <c r="AJ15" s="127"/>
      <c r="AK15" s="136"/>
      <c r="AL15" s="127"/>
      <c r="AM15" s="127"/>
      <c r="AN15" s="136"/>
      <c r="AO15" s="136"/>
      <c r="AP15" s="136"/>
      <c r="AQ15" s="136"/>
      <c r="AR15" s="136"/>
      <c r="AS15" s="136"/>
      <c r="AT15" s="136"/>
      <c r="AU15" s="136"/>
      <c r="AV15" s="155"/>
    </row>
    <row r="16" spans="1:62" s="22" customFormat="1" x14ac:dyDescent="0.2">
      <c r="A16" s="125"/>
      <c r="B16" s="124"/>
      <c r="C16" s="126"/>
      <c r="D16" s="127"/>
      <c r="E16" s="128"/>
      <c r="F16" s="126"/>
      <c r="G16" s="128"/>
      <c r="H16" s="126"/>
      <c r="I16" s="126"/>
      <c r="J16" s="127"/>
      <c r="K16" s="126"/>
      <c r="L16" s="127"/>
      <c r="M16" s="127"/>
      <c r="N16" s="127"/>
      <c r="O16" s="127"/>
      <c r="Q16" s="127"/>
      <c r="R16" s="127"/>
      <c r="S16" s="136"/>
      <c r="T16" s="127"/>
      <c r="U16" s="127"/>
      <c r="V16" s="127"/>
      <c r="W16" s="136"/>
      <c r="X16" s="127"/>
      <c r="Y16" s="127"/>
      <c r="Z16" s="127"/>
      <c r="AA16" s="136"/>
      <c r="AB16" s="127"/>
      <c r="AC16" s="127"/>
      <c r="AD16" s="127"/>
      <c r="AE16" s="136"/>
      <c r="AF16" s="127"/>
      <c r="AG16" s="127"/>
      <c r="AH16" s="136"/>
      <c r="AI16" s="127"/>
      <c r="AJ16" s="127"/>
      <c r="AK16" s="136"/>
      <c r="AL16" s="127"/>
      <c r="AM16" s="127"/>
      <c r="AN16" s="136"/>
      <c r="AO16" s="136"/>
      <c r="AP16" s="136"/>
      <c r="AQ16" s="136"/>
      <c r="AR16" s="136"/>
      <c r="AS16" s="136"/>
      <c r="AT16" s="136"/>
      <c r="AU16" s="136"/>
      <c r="AV16" s="155"/>
    </row>
    <row r="17" spans="1:48" s="22" customFormat="1" x14ac:dyDescent="0.2">
      <c r="A17" s="125"/>
      <c r="B17" s="124"/>
      <c r="C17" s="126"/>
      <c r="D17" s="127"/>
      <c r="E17" s="128"/>
      <c r="F17" s="126"/>
      <c r="G17" s="128"/>
      <c r="H17" s="126"/>
      <c r="I17" s="126"/>
      <c r="J17" s="127"/>
      <c r="K17" s="126"/>
      <c r="L17" s="127"/>
      <c r="M17" s="127"/>
      <c r="N17" s="127"/>
      <c r="O17" s="127"/>
      <c r="Q17" s="127"/>
      <c r="R17" s="127"/>
      <c r="S17" s="136"/>
      <c r="T17" s="127"/>
      <c r="U17" s="127"/>
      <c r="V17" s="127"/>
      <c r="W17" s="136"/>
      <c r="X17" s="127"/>
      <c r="Y17" s="127"/>
      <c r="Z17" s="127"/>
      <c r="AA17" s="136"/>
      <c r="AB17" s="127"/>
      <c r="AC17" s="127"/>
      <c r="AD17" s="127"/>
      <c r="AE17" s="136"/>
      <c r="AF17" s="127"/>
      <c r="AG17" s="127"/>
      <c r="AH17" s="136"/>
      <c r="AI17" s="127"/>
      <c r="AJ17" s="127"/>
      <c r="AK17" s="136"/>
      <c r="AL17" s="127"/>
      <c r="AM17" s="127"/>
      <c r="AN17" s="136"/>
      <c r="AO17" s="136"/>
      <c r="AP17" s="136"/>
      <c r="AQ17" s="136"/>
      <c r="AR17" s="136"/>
      <c r="AS17" s="136"/>
      <c r="AT17" s="136"/>
      <c r="AU17" s="136"/>
      <c r="AV17" s="247"/>
    </row>
    <row r="18" spans="1:48" s="22" customFormat="1" x14ac:dyDescent="0.2">
      <c r="A18" s="125"/>
      <c r="B18" s="124"/>
      <c r="C18" s="126"/>
      <c r="D18" s="127"/>
      <c r="E18" s="128"/>
      <c r="F18" s="126"/>
      <c r="G18" s="128"/>
      <c r="H18" s="126"/>
      <c r="I18" s="126"/>
      <c r="J18" s="127"/>
      <c r="K18" s="126"/>
      <c r="L18" s="127"/>
      <c r="M18" s="127"/>
      <c r="N18" s="127"/>
      <c r="O18" s="127"/>
      <c r="Q18" s="127"/>
      <c r="R18" s="127"/>
      <c r="S18" s="136"/>
      <c r="T18" s="127"/>
      <c r="U18" s="127"/>
      <c r="V18" s="127"/>
      <c r="W18" s="136"/>
      <c r="X18" s="127"/>
      <c r="Y18" s="127"/>
      <c r="Z18" s="127"/>
      <c r="AA18" s="136"/>
      <c r="AB18" s="127"/>
      <c r="AC18" s="127"/>
      <c r="AD18" s="127"/>
      <c r="AE18" s="136"/>
      <c r="AF18" s="127"/>
      <c r="AG18" s="127"/>
      <c r="AH18" s="136"/>
      <c r="AI18" s="127"/>
      <c r="AJ18" s="127"/>
      <c r="AK18" s="136"/>
      <c r="AL18" s="127"/>
      <c r="AM18" s="127"/>
      <c r="AN18" s="136"/>
      <c r="AO18" s="136"/>
      <c r="AP18" s="136"/>
      <c r="AQ18" s="136"/>
      <c r="AR18" s="136"/>
      <c r="AS18" s="136"/>
      <c r="AT18" s="136"/>
      <c r="AU18" s="136"/>
      <c r="AV18" s="247"/>
    </row>
    <row r="19" spans="1:48" s="22" customFormat="1" x14ac:dyDescent="0.2">
      <c r="A19" s="125"/>
      <c r="B19" s="124"/>
      <c r="C19" s="126"/>
      <c r="D19" s="127"/>
      <c r="E19" s="128"/>
      <c r="F19" s="126"/>
      <c r="G19" s="128"/>
      <c r="H19" s="126"/>
      <c r="I19" s="126"/>
      <c r="J19" s="127"/>
      <c r="K19" s="126"/>
      <c r="L19" s="127"/>
      <c r="M19" s="127"/>
      <c r="N19" s="127"/>
      <c r="O19" s="127"/>
      <c r="Q19" s="127"/>
      <c r="R19" s="127"/>
      <c r="S19" s="136"/>
      <c r="T19" s="127"/>
      <c r="U19" s="127"/>
      <c r="V19" s="127"/>
      <c r="W19" s="136"/>
      <c r="X19" s="127"/>
      <c r="Y19" s="127"/>
      <c r="Z19" s="127"/>
      <c r="AA19" s="136"/>
      <c r="AB19" s="127"/>
      <c r="AC19" s="127"/>
      <c r="AD19" s="127"/>
      <c r="AE19" s="136"/>
      <c r="AF19" s="127"/>
      <c r="AG19" s="127"/>
      <c r="AH19" s="136"/>
      <c r="AI19" s="127"/>
      <c r="AJ19" s="127"/>
      <c r="AK19" s="136"/>
      <c r="AL19" s="127"/>
      <c r="AM19" s="127"/>
      <c r="AN19" s="136"/>
      <c r="AO19" s="136"/>
      <c r="AP19" s="136"/>
      <c r="AQ19" s="136"/>
      <c r="AR19" s="136"/>
      <c r="AS19" s="136"/>
      <c r="AT19" s="136"/>
      <c r="AU19" s="136"/>
      <c r="AV19" s="247"/>
    </row>
    <row r="20" spans="1:48" s="22" customFormat="1" x14ac:dyDescent="0.2">
      <c r="A20" s="125"/>
      <c r="B20" s="124"/>
      <c r="C20" s="126"/>
      <c r="D20" s="127"/>
      <c r="E20" s="128"/>
      <c r="F20" s="126"/>
      <c r="G20" s="128"/>
      <c r="H20" s="126"/>
      <c r="I20" s="126"/>
      <c r="J20" s="127"/>
      <c r="K20" s="126"/>
      <c r="L20" s="127"/>
      <c r="M20" s="127"/>
      <c r="N20" s="127"/>
      <c r="O20" s="127"/>
      <c r="Q20" s="127"/>
      <c r="R20" s="127"/>
      <c r="S20" s="136"/>
      <c r="T20" s="127"/>
      <c r="U20" s="127"/>
      <c r="V20" s="127"/>
      <c r="W20" s="136"/>
      <c r="X20" s="127"/>
      <c r="Y20" s="127"/>
      <c r="Z20" s="127"/>
      <c r="AA20" s="136"/>
      <c r="AB20" s="127"/>
      <c r="AC20" s="127"/>
      <c r="AD20" s="127"/>
      <c r="AE20" s="136"/>
      <c r="AF20" s="127"/>
      <c r="AG20" s="127"/>
      <c r="AH20" s="136"/>
      <c r="AI20" s="127"/>
      <c r="AJ20" s="127"/>
      <c r="AK20" s="136"/>
      <c r="AL20" s="127"/>
      <c r="AM20" s="127"/>
      <c r="AN20" s="136"/>
      <c r="AO20" s="136"/>
      <c r="AP20" s="136"/>
      <c r="AQ20" s="136"/>
      <c r="AR20" s="136"/>
      <c r="AS20" s="136"/>
      <c r="AT20" s="136"/>
      <c r="AU20" s="136"/>
      <c r="AV20" s="247"/>
    </row>
    <row r="21" spans="1:48" s="22" customFormat="1" x14ac:dyDescent="0.2">
      <c r="A21" s="125"/>
      <c r="B21" s="124"/>
      <c r="C21" s="126"/>
      <c r="D21" s="127"/>
      <c r="E21" s="128"/>
      <c r="F21" s="126"/>
      <c r="G21" s="128"/>
      <c r="H21" s="126"/>
      <c r="I21" s="126"/>
      <c r="J21" s="127"/>
      <c r="K21" s="126"/>
      <c r="L21" s="127"/>
      <c r="M21" s="127"/>
      <c r="N21" s="127"/>
      <c r="O21" s="127"/>
      <c r="Q21" s="127"/>
      <c r="R21" s="127"/>
      <c r="S21" s="136"/>
      <c r="T21" s="127"/>
      <c r="U21" s="127"/>
      <c r="V21" s="127"/>
      <c r="W21" s="136"/>
      <c r="X21" s="127"/>
      <c r="Y21" s="127"/>
      <c r="Z21" s="127"/>
      <c r="AA21" s="136"/>
      <c r="AB21" s="127"/>
      <c r="AC21" s="127"/>
      <c r="AD21" s="127"/>
      <c r="AE21" s="136"/>
      <c r="AF21" s="127"/>
      <c r="AG21" s="127"/>
      <c r="AH21" s="136"/>
      <c r="AI21" s="127"/>
      <c r="AJ21" s="127"/>
      <c r="AK21" s="136"/>
      <c r="AL21" s="127"/>
      <c r="AM21" s="127"/>
      <c r="AN21" s="136"/>
      <c r="AO21" s="136"/>
      <c r="AP21" s="136"/>
      <c r="AQ21" s="136"/>
      <c r="AR21" s="136"/>
      <c r="AS21" s="136"/>
      <c r="AT21" s="136"/>
      <c r="AU21" s="136"/>
      <c r="AV21" s="247"/>
    </row>
    <row r="22" spans="1:48" s="23" customFormat="1" x14ac:dyDescent="0.2">
      <c r="A22" s="125"/>
      <c r="B22" s="129"/>
      <c r="C22" s="126"/>
      <c r="D22" s="127"/>
      <c r="E22" s="128"/>
      <c r="F22" s="126"/>
      <c r="G22" s="128"/>
      <c r="H22" s="126"/>
      <c r="I22" s="126"/>
      <c r="J22" s="127"/>
      <c r="K22" s="126"/>
      <c r="L22" s="127"/>
      <c r="M22" s="127"/>
      <c r="N22" s="127"/>
      <c r="O22" s="127"/>
      <c r="Q22" s="127"/>
      <c r="R22" s="127"/>
      <c r="S22" s="136"/>
      <c r="T22" s="127"/>
      <c r="U22" s="127"/>
      <c r="V22" s="127"/>
      <c r="W22" s="136"/>
      <c r="X22" s="127"/>
      <c r="Y22" s="127"/>
      <c r="Z22" s="127"/>
      <c r="AA22" s="136"/>
      <c r="AB22" s="127"/>
      <c r="AC22" s="127"/>
      <c r="AD22" s="127"/>
      <c r="AE22" s="136"/>
      <c r="AF22" s="127"/>
      <c r="AG22" s="127"/>
      <c r="AH22" s="136"/>
      <c r="AI22" s="127"/>
      <c r="AJ22" s="127"/>
      <c r="AK22" s="136"/>
      <c r="AL22" s="127"/>
      <c r="AM22" s="127"/>
      <c r="AN22" s="136"/>
      <c r="AO22" s="136"/>
      <c r="AP22" s="136"/>
      <c r="AQ22" s="136"/>
      <c r="AR22" s="136"/>
      <c r="AS22" s="136"/>
      <c r="AT22" s="136"/>
      <c r="AU22" s="136"/>
      <c r="AV22" s="247"/>
    </row>
    <row r="23" spans="1:48" s="23" customFormat="1" x14ac:dyDescent="0.2">
      <c r="A23" s="125"/>
      <c r="B23" s="129"/>
      <c r="C23" s="126"/>
      <c r="D23" s="127"/>
      <c r="E23" s="128"/>
      <c r="F23" s="126"/>
      <c r="G23" s="128"/>
      <c r="H23" s="126"/>
      <c r="I23" s="126"/>
      <c r="J23" s="127"/>
      <c r="K23" s="126"/>
      <c r="L23" s="127"/>
      <c r="M23" s="127"/>
      <c r="N23" s="127"/>
      <c r="O23" s="127"/>
      <c r="Q23" s="127"/>
      <c r="R23" s="127"/>
      <c r="S23" s="136"/>
      <c r="T23" s="127"/>
      <c r="U23" s="127"/>
      <c r="V23" s="127"/>
      <c r="W23" s="136"/>
      <c r="X23" s="127"/>
      <c r="Y23" s="127"/>
      <c r="Z23" s="127"/>
      <c r="AA23" s="136"/>
      <c r="AB23" s="127"/>
      <c r="AC23" s="127"/>
      <c r="AD23" s="127"/>
      <c r="AE23" s="136"/>
      <c r="AF23" s="127"/>
      <c r="AG23" s="127"/>
      <c r="AH23" s="136"/>
      <c r="AI23" s="127"/>
      <c r="AJ23" s="127"/>
      <c r="AK23" s="136"/>
      <c r="AL23" s="127"/>
      <c r="AM23" s="127"/>
      <c r="AN23" s="136"/>
      <c r="AO23" s="136"/>
      <c r="AP23" s="136"/>
      <c r="AQ23" s="136"/>
      <c r="AR23" s="136"/>
      <c r="AS23" s="136"/>
      <c r="AT23" s="136"/>
      <c r="AU23" s="136"/>
      <c r="AV23" s="247"/>
    </row>
    <row r="24" spans="1:48" s="22" customFormat="1" x14ac:dyDescent="0.2">
      <c r="A24" s="125"/>
      <c r="B24" s="124"/>
      <c r="C24" s="126"/>
      <c r="D24" s="127"/>
      <c r="E24" s="128"/>
      <c r="F24" s="126"/>
      <c r="G24" s="128"/>
      <c r="H24" s="126"/>
      <c r="I24" s="126"/>
      <c r="J24" s="127"/>
      <c r="K24" s="126"/>
      <c r="L24" s="127"/>
      <c r="M24" s="126"/>
      <c r="N24" s="127"/>
      <c r="O24" s="127"/>
      <c r="Q24" s="127"/>
      <c r="R24" s="127"/>
      <c r="S24" s="136"/>
      <c r="T24" s="127"/>
      <c r="U24" s="127"/>
      <c r="V24" s="127"/>
      <c r="W24" s="136"/>
      <c r="X24" s="127"/>
      <c r="Y24" s="127"/>
      <c r="Z24" s="127"/>
      <c r="AA24" s="136"/>
      <c r="AB24" s="127"/>
      <c r="AC24" s="127"/>
      <c r="AD24" s="127"/>
      <c r="AE24" s="136"/>
      <c r="AF24" s="127"/>
      <c r="AG24" s="127"/>
      <c r="AH24" s="136"/>
      <c r="AI24" s="127"/>
      <c r="AJ24" s="127"/>
      <c r="AK24" s="136"/>
      <c r="AL24" s="127"/>
      <c r="AM24" s="127"/>
      <c r="AN24" s="136"/>
      <c r="AO24" s="136"/>
      <c r="AP24" s="136"/>
      <c r="AQ24" s="136"/>
      <c r="AR24" s="136"/>
      <c r="AS24" s="136"/>
      <c r="AT24" s="136"/>
      <c r="AU24" s="136"/>
      <c r="AV24" s="247"/>
    </row>
    <row r="25" spans="1:48" s="22" customFormat="1" x14ac:dyDescent="0.2">
      <c r="A25" s="125"/>
      <c r="B25" s="124"/>
      <c r="C25" s="126"/>
      <c r="D25" s="127"/>
      <c r="E25" s="128"/>
      <c r="F25" s="126"/>
      <c r="G25" s="128"/>
      <c r="H25" s="126"/>
      <c r="I25" s="126"/>
      <c r="J25" s="127"/>
      <c r="K25" s="126"/>
      <c r="L25" s="127"/>
      <c r="M25" s="127"/>
      <c r="N25" s="127"/>
      <c r="O25" s="127"/>
      <c r="Q25" s="127"/>
      <c r="R25" s="127"/>
      <c r="S25" s="136"/>
      <c r="T25" s="127"/>
      <c r="U25" s="127"/>
      <c r="V25" s="127"/>
      <c r="W25" s="136"/>
      <c r="X25" s="127"/>
      <c r="Y25" s="127"/>
      <c r="Z25" s="127"/>
      <c r="AA25" s="136"/>
      <c r="AB25" s="127"/>
      <c r="AC25" s="127"/>
      <c r="AD25" s="127"/>
      <c r="AE25" s="136"/>
      <c r="AF25" s="127"/>
      <c r="AG25" s="127"/>
      <c r="AH25" s="136"/>
      <c r="AI25" s="127"/>
      <c r="AJ25" s="127"/>
      <c r="AK25" s="136"/>
      <c r="AL25" s="127"/>
      <c r="AM25" s="127"/>
      <c r="AN25" s="136"/>
      <c r="AO25" s="136"/>
      <c r="AP25" s="136"/>
      <c r="AQ25" s="136"/>
      <c r="AR25" s="136"/>
      <c r="AS25" s="136"/>
      <c r="AT25" s="136"/>
      <c r="AU25" s="136"/>
      <c r="AV25" s="247"/>
    </row>
    <row r="26" spans="1:48" s="22" customFormat="1" x14ac:dyDescent="0.2">
      <c r="A26" s="125"/>
      <c r="B26" s="124"/>
      <c r="C26" s="126"/>
      <c r="D26" s="127"/>
      <c r="E26" s="128"/>
      <c r="F26" s="126"/>
      <c r="G26" s="128"/>
      <c r="H26" s="126"/>
      <c r="I26" s="126"/>
      <c r="J26" s="127"/>
      <c r="K26" s="126"/>
      <c r="L26" s="127"/>
      <c r="M26" s="127"/>
      <c r="N26" s="127"/>
      <c r="O26" s="127"/>
      <c r="Q26" s="127"/>
      <c r="R26" s="127"/>
      <c r="S26" s="136"/>
      <c r="T26" s="127"/>
      <c r="U26" s="127"/>
      <c r="V26" s="127"/>
      <c r="W26" s="136"/>
      <c r="X26" s="127"/>
      <c r="Y26" s="127"/>
      <c r="Z26" s="127"/>
      <c r="AA26" s="136"/>
      <c r="AB26" s="127"/>
      <c r="AC26" s="127"/>
      <c r="AD26" s="127"/>
      <c r="AE26" s="136"/>
      <c r="AF26" s="127"/>
      <c r="AG26" s="127"/>
      <c r="AH26" s="136"/>
      <c r="AI26" s="127"/>
      <c r="AJ26" s="127"/>
      <c r="AK26" s="136"/>
      <c r="AL26" s="127"/>
      <c r="AM26" s="127"/>
      <c r="AN26" s="136"/>
      <c r="AO26" s="136"/>
      <c r="AP26" s="136"/>
      <c r="AQ26" s="136"/>
      <c r="AR26" s="136"/>
      <c r="AS26" s="136"/>
      <c r="AT26" s="136"/>
      <c r="AU26" s="136"/>
      <c r="AV26" s="247"/>
    </row>
    <row r="27" spans="1:48" s="22" customFormat="1" x14ac:dyDescent="0.2">
      <c r="A27" s="125"/>
      <c r="B27" s="124"/>
      <c r="C27" s="126"/>
      <c r="D27" s="127"/>
      <c r="E27" s="128"/>
      <c r="F27" s="126"/>
      <c r="G27" s="128"/>
      <c r="H27" s="126"/>
      <c r="I27" s="126"/>
      <c r="J27" s="127"/>
      <c r="K27" s="126"/>
      <c r="L27" s="127"/>
      <c r="M27" s="127"/>
      <c r="N27" s="127"/>
      <c r="O27" s="127"/>
      <c r="Q27" s="127"/>
      <c r="R27" s="127"/>
      <c r="S27" s="136"/>
      <c r="T27" s="127"/>
      <c r="U27" s="127"/>
      <c r="V27" s="127"/>
      <c r="W27" s="136"/>
      <c r="X27" s="127"/>
      <c r="Y27" s="127"/>
      <c r="Z27" s="127"/>
      <c r="AA27" s="136"/>
      <c r="AB27" s="127"/>
      <c r="AC27" s="127"/>
      <c r="AD27" s="127"/>
      <c r="AE27" s="136"/>
      <c r="AF27" s="127"/>
      <c r="AG27" s="127"/>
      <c r="AH27" s="136"/>
      <c r="AI27" s="127"/>
      <c r="AJ27" s="127"/>
      <c r="AK27" s="136"/>
      <c r="AL27" s="127"/>
      <c r="AM27" s="127"/>
      <c r="AN27" s="136"/>
      <c r="AO27" s="136"/>
      <c r="AP27" s="136"/>
      <c r="AQ27" s="136"/>
      <c r="AR27" s="136"/>
      <c r="AS27" s="136"/>
      <c r="AT27" s="136"/>
      <c r="AU27" s="136"/>
      <c r="AV27" s="247"/>
    </row>
    <row r="28" spans="1:48" s="22" customFormat="1" x14ac:dyDescent="0.2">
      <c r="A28" s="125"/>
      <c r="B28" s="124"/>
      <c r="C28" s="126"/>
      <c r="D28" s="127"/>
      <c r="E28" s="128"/>
      <c r="F28" s="126"/>
      <c r="G28" s="128"/>
      <c r="H28" s="126"/>
      <c r="I28" s="126"/>
      <c r="J28" s="127"/>
      <c r="K28" s="126"/>
      <c r="L28" s="127"/>
      <c r="M28" s="127"/>
      <c r="N28" s="127"/>
      <c r="O28" s="127"/>
      <c r="Q28" s="127"/>
      <c r="R28" s="127"/>
      <c r="S28" s="136"/>
      <c r="T28" s="127"/>
      <c r="U28" s="127"/>
      <c r="V28" s="127"/>
      <c r="W28" s="136"/>
      <c r="X28" s="127"/>
      <c r="Y28" s="127"/>
      <c r="Z28" s="127"/>
      <c r="AA28" s="136"/>
      <c r="AB28" s="127"/>
      <c r="AC28" s="127"/>
      <c r="AD28" s="127"/>
      <c r="AE28" s="136"/>
      <c r="AF28" s="127"/>
      <c r="AG28" s="127"/>
      <c r="AH28" s="136"/>
      <c r="AI28" s="127"/>
      <c r="AJ28" s="127"/>
      <c r="AK28" s="136"/>
      <c r="AL28" s="127"/>
      <c r="AM28" s="127"/>
      <c r="AN28" s="136"/>
      <c r="AO28" s="136"/>
      <c r="AP28" s="136"/>
      <c r="AQ28" s="136"/>
      <c r="AR28" s="136"/>
      <c r="AS28" s="136"/>
      <c r="AT28" s="136"/>
      <c r="AU28" s="136"/>
      <c r="AV28" s="247"/>
    </row>
    <row r="29" spans="1:48" s="22" customFormat="1" x14ac:dyDescent="0.2">
      <c r="A29" s="125"/>
      <c r="B29" s="124"/>
      <c r="C29" s="126"/>
      <c r="D29" s="127"/>
      <c r="E29" s="128"/>
      <c r="F29" s="126"/>
      <c r="G29" s="128"/>
      <c r="H29" s="126"/>
      <c r="I29" s="126"/>
      <c r="J29" s="127"/>
      <c r="K29" s="126"/>
      <c r="L29" s="127"/>
      <c r="M29" s="127"/>
      <c r="N29" s="127"/>
      <c r="O29" s="127"/>
      <c r="Q29" s="127"/>
      <c r="R29" s="127"/>
      <c r="S29" s="136"/>
      <c r="T29" s="127"/>
      <c r="U29" s="127"/>
      <c r="V29" s="127"/>
      <c r="W29" s="136"/>
      <c r="X29" s="127"/>
      <c r="Y29" s="127"/>
      <c r="Z29" s="127"/>
      <c r="AA29" s="136"/>
      <c r="AB29" s="127"/>
      <c r="AC29" s="127"/>
      <c r="AD29" s="127"/>
      <c r="AE29" s="136"/>
      <c r="AF29" s="127"/>
      <c r="AG29" s="127"/>
      <c r="AH29" s="136"/>
      <c r="AI29" s="127"/>
      <c r="AJ29" s="127"/>
      <c r="AK29" s="136"/>
      <c r="AL29" s="127"/>
      <c r="AM29" s="127"/>
      <c r="AN29" s="136"/>
      <c r="AO29" s="136"/>
      <c r="AP29" s="136"/>
      <c r="AQ29" s="136"/>
      <c r="AR29" s="136"/>
      <c r="AS29" s="136"/>
      <c r="AT29" s="136"/>
      <c r="AU29" s="136"/>
      <c r="AV29" s="247"/>
    </row>
    <row r="30" spans="1:48" s="23" customFormat="1" x14ac:dyDescent="0.2">
      <c r="A30" s="125"/>
      <c r="B30" s="129"/>
      <c r="C30" s="126"/>
      <c r="D30" s="127"/>
      <c r="E30" s="128"/>
      <c r="F30" s="126"/>
      <c r="G30" s="128"/>
      <c r="H30" s="126"/>
      <c r="I30" s="126"/>
      <c r="J30" s="127"/>
      <c r="K30" s="126"/>
      <c r="L30" s="127"/>
      <c r="M30" s="127"/>
      <c r="N30" s="127"/>
      <c r="O30" s="127"/>
      <c r="Q30" s="127"/>
      <c r="R30" s="127"/>
      <c r="S30" s="136"/>
      <c r="T30" s="127"/>
      <c r="U30" s="127"/>
      <c r="V30" s="127"/>
      <c r="W30" s="136"/>
      <c r="X30" s="127"/>
      <c r="Y30" s="127"/>
      <c r="Z30" s="127"/>
      <c r="AA30" s="136"/>
      <c r="AB30" s="127"/>
      <c r="AC30" s="127"/>
      <c r="AD30" s="127"/>
      <c r="AE30" s="136"/>
      <c r="AF30" s="127"/>
      <c r="AG30" s="127"/>
      <c r="AH30" s="136"/>
      <c r="AI30" s="127"/>
      <c r="AJ30" s="127"/>
      <c r="AK30" s="136"/>
      <c r="AL30" s="127"/>
      <c r="AM30" s="127"/>
      <c r="AN30" s="136"/>
      <c r="AO30" s="136"/>
      <c r="AP30" s="136"/>
      <c r="AQ30" s="136"/>
      <c r="AR30" s="136"/>
      <c r="AS30" s="136"/>
      <c r="AT30" s="136"/>
      <c r="AU30" s="136"/>
      <c r="AV30" s="247"/>
    </row>
    <row r="31" spans="1:48" s="22" customFormat="1" x14ac:dyDescent="0.2">
      <c r="A31" s="125"/>
      <c r="B31" s="124"/>
      <c r="C31" s="126"/>
      <c r="D31" s="127"/>
      <c r="E31" s="128"/>
      <c r="F31" s="126"/>
      <c r="G31" s="128"/>
      <c r="H31" s="126"/>
      <c r="I31" s="126"/>
      <c r="J31" s="127"/>
      <c r="K31" s="126"/>
      <c r="L31" s="127"/>
      <c r="M31" s="127"/>
      <c r="N31" s="127"/>
      <c r="O31" s="127"/>
      <c r="Q31" s="127"/>
      <c r="R31" s="127"/>
      <c r="S31" s="136"/>
      <c r="T31" s="127"/>
      <c r="U31" s="127"/>
      <c r="V31" s="127"/>
      <c r="W31" s="136"/>
      <c r="X31" s="127"/>
      <c r="Y31" s="127"/>
      <c r="Z31" s="127"/>
      <c r="AA31" s="136"/>
      <c r="AB31" s="127"/>
      <c r="AC31" s="127"/>
      <c r="AD31" s="127"/>
      <c r="AE31" s="136"/>
      <c r="AF31" s="127"/>
      <c r="AG31" s="127"/>
      <c r="AH31" s="136"/>
      <c r="AI31" s="127"/>
      <c r="AJ31" s="127"/>
      <c r="AK31" s="136"/>
      <c r="AL31" s="127"/>
      <c r="AM31" s="127"/>
      <c r="AN31" s="136"/>
      <c r="AO31" s="136"/>
      <c r="AP31" s="136"/>
      <c r="AQ31" s="136"/>
      <c r="AR31" s="136"/>
      <c r="AS31" s="136"/>
      <c r="AT31" s="136"/>
      <c r="AU31" s="136"/>
      <c r="AV31" s="247"/>
    </row>
    <row r="32" spans="1:48" s="23" customFormat="1" x14ac:dyDescent="0.2">
      <c r="A32" s="125"/>
      <c r="B32" s="129"/>
      <c r="C32" s="126"/>
      <c r="D32" s="127"/>
      <c r="E32" s="128"/>
      <c r="F32" s="126"/>
      <c r="G32" s="128"/>
      <c r="H32" s="126"/>
      <c r="I32" s="126"/>
      <c r="J32" s="127"/>
      <c r="K32" s="126"/>
      <c r="L32" s="127"/>
      <c r="M32" s="127"/>
      <c r="N32" s="127"/>
      <c r="O32" s="127"/>
      <c r="Q32" s="127"/>
      <c r="R32" s="127"/>
      <c r="S32" s="136"/>
      <c r="T32" s="127"/>
      <c r="U32" s="127"/>
      <c r="V32" s="127"/>
      <c r="W32" s="136"/>
      <c r="X32" s="127"/>
      <c r="Y32" s="127"/>
      <c r="Z32" s="127"/>
      <c r="AA32" s="136"/>
      <c r="AB32" s="127"/>
      <c r="AC32" s="127"/>
      <c r="AD32" s="127"/>
      <c r="AE32" s="136"/>
      <c r="AF32" s="127"/>
      <c r="AG32" s="127"/>
      <c r="AH32" s="136"/>
      <c r="AI32" s="127"/>
      <c r="AJ32" s="127"/>
      <c r="AK32" s="136"/>
      <c r="AL32" s="127"/>
      <c r="AM32" s="127"/>
      <c r="AN32" s="136"/>
      <c r="AO32" s="136"/>
      <c r="AP32" s="136"/>
      <c r="AQ32" s="136"/>
      <c r="AR32" s="136"/>
      <c r="AS32" s="136"/>
      <c r="AT32" s="136"/>
      <c r="AU32" s="136"/>
      <c r="AV32" s="247"/>
    </row>
    <row r="33" spans="1:48" s="23" customFormat="1" x14ac:dyDescent="0.2">
      <c r="A33" s="125"/>
      <c r="B33" s="129"/>
      <c r="C33" s="126"/>
      <c r="D33" s="127"/>
      <c r="E33" s="128"/>
      <c r="F33" s="126"/>
      <c r="G33" s="128"/>
      <c r="H33" s="126"/>
      <c r="I33" s="126"/>
      <c r="J33" s="127"/>
      <c r="K33" s="126"/>
      <c r="L33" s="127"/>
      <c r="M33" s="127"/>
      <c r="N33" s="127"/>
      <c r="O33" s="127"/>
      <c r="Q33" s="127"/>
      <c r="R33" s="127"/>
      <c r="S33" s="136"/>
      <c r="T33" s="127"/>
      <c r="U33" s="127"/>
      <c r="V33" s="127"/>
      <c r="W33" s="136"/>
      <c r="X33" s="127"/>
      <c r="Y33" s="127"/>
      <c r="Z33" s="127"/>
      <c r="AA33" s="136"/>
      <c r="AB33" s="127"/>
      <c r="AC33" s="127"/>
      <c r="AD33" s="127"/>
      <c r="AE33" s="136"/>
      <c r="AF33" s="127"/>
      <c r="AG33" s="127"/>
      <c r="AH33" s="136"/>
      <c r="AI33" s="127"/>
      <c r="AJ33" s="127"/>
      <c r="AK33" s="136"/>
      <c r="AL33" s="127"/>
      <c r="AM33" s="127"/>
      <c r="AN33" s="136"/>
      <c r="AO33" s="136"/>
      <c r="AP33" s="136"/>
      <c r="AQ33" s="136"/>
      <c r="AR33" s="136"/>
      <c r="AS33" s="136"/>
      <c r="AT33" s="136"/>
      <c r="AU33" s="136"/>
      <c r="AV33" s="247"/>
    </row>
    <row r="34" spans="1:48" s="22" customFormat="1" x14ac:dyDescent="0.2">
      <c r="A34" s="125"/>
      <c r="B34" s="124"/>
      <c r="C34" s="126"/>
      <c r="D34" s="127"/>
      <c r="E34" s="128"/>
      <c r="F34" s="126"/>
      <c r="G34" s="128"/>
      <c r="H34" s="126"/>
      <c r="I34" s="126"/>
      <c r="J34" s="127"/>
      <c r="K34" s="126"/>
      <c r="L34" s="127"/>
      <c r="M34" s="127"/>
      <c r="N34" s="127"/>
      <c r="O34" s="127"/>
      <c r="Q34" s="127"/>
      <c r="R34" s="127"/>
      <c r="S34" s="136"/>
      <c r="T34" s="127"/>
      <c r="U34" s="127"/>
      <c r="V34" s="127"/>
      <c r="W34" s="136"/>
      <c r="X34" s="127"/>
      <c r="Y34" s="127"/>
      <c r="Z34" s="127"/>
      <c r="AA34" s="136"/>
      <c r="AB34" s="127"/>
      <c r="AC34" s="127"/>
      <c r="AD34" s="127"/>
      <c r="AE34" s="136"/>
      <c r="AF34" s="127"/>
      <c r="AG34" s="127"/>
      <c r="AH34" s="136"/>
      <c r="AI34" s="127"/>
      <c r="AJ34" s="127"/>
      <c r="AK34" s="136"/>
      <c r="AL34" s="127"/>
      <c r="AM34" s="127"/>
      <c r="AN34" s="136"/>
      <c r="AO34" s="136"/>
      <c r="AP34" s="136"/>
      <c r="AQ34" s="136"/>
      <c r="AR34" s="136"/>
      <c r="AS34" s="136"/>
      <c r="AT34" s="136"/>
      <c r="AU34" s="136"/>
      <c r="AV34" s="247"/>
    </row>
    <row r="35" spans="1:48" s="23" customFormat="1" x14ac:dyDescent="0.2">
      <c r="A35" s="125"/>
      <c r="B35" s="129"/>
      <c r="C35" s="126"/>
      <c r="D35" s="127"/>
      <c r="E35" s="128"/>
      <c r="F35" s="126"/>
      <c r="G35" s="128"/>
      <c r="H35" s="126"/>
      <c r="I35" s="126"/>
      <c r="J35" s="127"/>
      <c r="K35" s="126"/>
      <c r="L35" s="127"/>
      <c r="M35" s="127"/>
      <c r="N35" s="127"/>
      <c r="O35" s="127"/>
      <c r="Q35" s="127"/>
      <c r="R35" s="127"/>
      <c r="S35" s="136"/>
      <c r="T35" s="127"/>
      <c r="U35" s="127"/>
      <c r="V35" s="127"/>
      <c r="W35" s="136"/>
      <c r="X35" s="127"/>
      <c r="Y35" s="127"/>
      <c r="Z35" s="127"/>
      <c r="AA35" s="136"/>
      <c r="AB35" s="127"/>
      <c r="AC35" s="127"/>
      <c r="AD35" s="127"/>
      <c r="AE35" s="136"/>
      <c r="AF35" s="127"/>
      <c r="AG35" s="127"/>
      <c r="AH35" s="136"/>
      <c r="AI35" s="127"/>
      <c r="AJ35" s="127"/>
      <c r="AK35" s="136"/>
      <c r="AL35" s="127"/>
      <c r="AM35" s="127"/>
      <c r="AN35" s="136"/>
      <c r="AO35" s="136"/>
      <c r="AP35" s="136"/>
      <c r="AQ35" s="136"/>
      <c r="AR35" s="136"/>
      <c r="AS35" s="136"/>
      <c r="AT35" s="136"/>
      <c r="AU35" s="136"/>
      <c r="AV35" s="247"/>
    </row>
    <row r="36" spans="1:48" s="22" customFormat="1" x14ac:dyDescent="0.2">
      <c r="A36" s="125"/>
      <c r="B36" s="124"/>
      <c r="C36" s="126"/>
      <c r="D36" s="127"/>
      <c r="E36" s="128"/>
      <c r="F36" s="126"/>
      <c r="G36" s="128"/>
      <c r="H36" s="126"/>
      <c r="I36" s="126"/>
      <c r="J36" s="127"/>
      <c r="K36" s="126"/>
      <c r="L36" s="127"/>
      <c r="M36" s="127"/>
      <c r="N36" s="127"/>
      <c r="O36" s="127"/>
      <c r="Q36" s="127"/>
      <c r="R36" s="127"/>
      <c r="S36" s="136"/>
      <c r="T36" s="127"/>
      <c r="U36" s="127"/>
      <c r="V36" s="127"/>
      <c r="W36" s="136"/>
      <c r="X36" s="127"/>
      <c r="Y36" s="127"/>
      <c r="Z36" s="127"/>
      <c r="AA36" s="136"/>
      <c r="AB36" s="127"/>
      <c r="AC36" s="127"/>
      <c r="AD36" s="127"/>
      <c r="AE36" s="136"/>
      <c r="AF36" s="127"/>
      <c r="AG36" s="127"/>
      <c r="AH36" s="136"/>
      <c r="AI36" s="127"/>
      <c r="AJ36" s="127"/>
      <c r="AK36" s="136"/>
      <c r="AL36" s="127"/>
      <c r="AM36" s="127"/>
      <c r="AN36" s="136"/>
      <c r="AO36" s="136"/>
      <c r="AP36" s="136"/>
      <c r="AQ36" s="136"/>
      <c r="AR36" s="136"/>
      <c r="AS36" s="136"/>
      <c r="AT36" s="136"/>
      <c r="AU36" s="136"/>
      <c r="AV36" s="247"/>
    </row>
    <row r="37" spans="1:48" s="22" customFormat="1" x14ac:dyDescent="0.2">
      <c r="A37" s="124"/>
      <c r="B37" s="124"/>
      <c r="C37" s="130"/>
      <c r="D37" s="124"/>
      <c r="E37" s="131"/>
      <c r="F37" s="125"/>
      <c r="G37" s="131"/>
      <c r="H37" s="125"/>
      <c r="I37" s="132"/>
      <c r="J37" s="133"/>
      <c r="K37" s="132"/>
      <c r="L37" s="133"/>
      <c r="M37" s="133"/>
      <c r="N37" s="133"/>
      <c r="O37" s="133"/>
      <c r="Q37" s="133"/>
      <c r="R37" s="133"/>
      <c r="S37" s="137"/>
      <c r="T37" s="133"/>
      <c r="U37" s="150"/>
      <c r="V37" s="133"/>
      <c r="W37" s="68"/>
      <c r="X37" s="133"/>
      <c r="Y37" s="150"/>
      <c r="Z37" s="150"/>
      <c r="AA37" s="68"/>
      <c r="AB37" s="150"/>
      <c r="AC37" s="150"/>
      <c r="AD37" s="150"/>
      <c r="AE37" s="68"/>
      <c r="AF37" s="150"/>
      <c r="AG37" s="150"/>
      <c r="AH37" s="68"/>
      <c r="AI37" s="150"/>
      <c r="AJ37" s="150"/>
      <c r="AK37" s="68"/>
      <c r="AL37" s="150"/>
      <c r="AM37" s="150"/>
      <c r="AN37" s="68"/>
      <c r="AO37" s="68"/>
      <c r="AP37" s="68"/>
      <c r="AQ37" s="68"/>
      <c r="AR37" s="68"/>
      <c r="AS37" s="68"/>
      <c r="AT37" s="68"/>
      <c r="AU37" s="68"/>
      <c r="AV37" s="247"/>
    </row>
    <row r="38" spans="1:48" s="22" customFormat="1" x14ac:dyDescent="0.2">
      <c r="A38" s="124"/>
      <c r="B38" s="124"/>
      <c r="C38" s="130"/>
      <c r="D38" s="124"/>
      <c r="E38" s="131"/>
      <c r="F38" s="125"/>
      <c r="G38" s="131"/>
      <c r="H38" s="125"/>
      <c r="I38" s="132"/>
      <c r="J38" s="133"/>
      <c r="K38" s="132"/>
      <c r="L38" s="133"/>
      <c r="M38" s="133"/>
      <c r="N38" s="133"/>
      <c r="O38" s="133"/>
      <c r="Q38" s="133"/>
      <c r="R38" s="133"/>
      <c r="S38" s="137"/>
      <c r="T38" s="133"/>
      <c r="U38" s="150"/>
      <c r="V38" s="133"/>
      <c r="W38" s="68"/>
      <c r="X38" s="133"/>
      <c r="Y38" s="150"/>
      <c r="Z38" s="150"/>
      <c r="AA38" s="68"/>
      <c r="AB38" s="150"/>
      <c r="AC38" s="150"/>
      <c r="AD38" s="150"/>
      <c r="AE38" s="68"/>
      <c r="AF38" s="150"/>
      <c r="AG38" s="150"/>
      <c r="AH38" s="68"/>
      <c r="AI38" s="150"/>
      <c r="AJ38" s="150"/>
      <c r="AK38" s="68"/>
      <c r="AL38" s="150"/>
      <c r="AM38" s="150"/>
      <c r="AN38" s="68"/>
      <c r="AO38" s="68"/>
      <c r="AP38" s="68"/>
      <c r="AQ38" s="68"/>
      <c r="AR38" s="68"/>
      <c r="AS38" s="68"/>
      <c r="AT38" s="68"/>
      <c r="AU38" s="68"/>
      <c r="AV38" s="247"/>
    </row>
    <row r="39" spans="1:48" s="22" customFormat="1" x14ac:dyDescent="0.2">
      <c r="A39" s="124"/>
      <c r="B39" s="124"/>
      <c r="C39" s="130"/>
      <c r="D39" s="124"/>
      <c r="E39" s="131"/>
      <c r="F39" s="125"/>
      <c r="G39" s="131"/>
      <c r="H39" s="125"/>
      <c r="I39" s="132"/>
      <c r="J39" s="133"/>
      <c r="K39" s="132"/>
      <c r="L39" s="133"/>
      <c r="M39" s="133"/>
      <c r="N39" s="133"/>
      <c r="O39" s="133"/>
      <c r="Q39" s="133"/>
      <c r="R39" s="133"/>
      <c r="S39" s="137"/>
      <c r="T39" s="133"/>
      <c r="U39" s="150"/>
      <c r="V39" s="133"/>
      <c r="W39" s="68"/>
      <c r="X39" s="133"/>
      <c r="Y39" s="150"/>
      <c r="Z39" s="150"/>
      <c r="AA39" s="68"/>
      <c r="AB39" s="150"/>
      <c r="AC39" s="150"/>
      <c r="AD39" s="150"/>
      <c r="AE39" s="68"/>
      <c r="AF39" s="150"/>
      <c r="AG39" s="150"/>
      <c r="AH39" s="68"/>
      <c r="AI39" s="150"/>
      <c r="AJ39" s="150"/>
      <c r="AK39" s="68"/>
      <c r="AL39" s="150"/>
      <c r="AM39" s="150"/>
      <c r="AN39" s="68"/>
      <c r="AO39" s="68"/>
      <c r="AP39" s="68"/>
      <c r="AQ39" s="68"/>
      <c r="AR39" s="68"/>
      <c r="AS39" s="68"/>
      <c r="AT39" s="68"/>
      <c r="AU39" s="68"/>
      <c r="AV39" s="247"/>
    </row>
    <row r="40" spans="1:48" s="22" customFormat="1" x14ac:dyDescent="0.2">
      <c r="A40" s="124"/>
      <c r="B40" s="124"/>
      <c r="C40" s="130"/>
      <c r="D40" s="124"/>
      <c r="E40" s="131"/>
      <c r="F40" s="125"/>
      <c r="G40" s="131"/>
      <c r="H40" s="125"/>
      <c r="I40" s="132"/>
      <c r="J40" s="133"/>
      <c r="K40" s="132"/>
      <c r="L40" s="133"/>
      <c r="M40" s="133"/>
      <c r="N40" s="133"/>
      <c r="O40" s="133"/>
      <c r="Q40" s="133"/>
      <c r="R40" s="133"/>
      <c r="S40" s="137"/>
      <c r="T40" s="133"/>
      <c r="U40" s="150"/>
      <c r="V40" s="133"/>
      <c r="W40" s="68"/>
      <c r="X40" s="133"/>
      <c r="Y40" s="150"/>
      <c r="Z40" s="150"/>
      <c r="AA40" s="68"/>
      <c r="AB40" s="150"/>
      <c r="AC40" s="150"/>
      <c r="AD40" s="150"/>
      <c r="AE40" s="68"/>
      <c r="AF40" s="150"/>
      <c r="AG40" s="150"/>
      <c r="AH40" s="68"/>
      <c r="AI40" s="150"/>
      <c r="AJ40" s="150"/>
      <c r="AK40" s="68"/>
      <c r="AL40" s="150"/>
      <c r="AM40" s="150"/>
      <c r="AN40" s="68"/>
      <c r="AO40" s="68"/>
      <c r="AP40" s="68"/>
      <c r="AQ40" s="68"/>
      <c r="AR40" s="68"/>
      <c r="AS40" s="68"/>
      <c r="AT40" s="68"/>
      <c r="AU40" s="68"/>
      <c r="AV40" s="247"/>
    </row>
    <row r="41" spans="1:48" s="22" customFormat="1" x14ac:dyDescent="0.2">
      <c r="A41" s="124"/>
      <c r="B41" s="124"/>
      <c r="C41" s="130"/>
      <c r="D41" s="124"/>
      <c r="E41" s="131"/>
      <c r="F41" s="125"/>
      <c r="G41" s="131"/>
      <c r="H41" s="125"/>
      <c r="I41" s="132"/>
      <c r="J41" s="133"/>
      <c r="K41" s="132"/>
      <c r="L41" s="133"/>
      <c r="M41" s="133"/>
      <c r="N41" s="133"/>
      <c r="O41" s="133"/>
      <c r="Q41" s="133"/>
      <c r="R41" s="133"/>
      <c r="S41" s="137"/>
      <c r="T41" s="133"/>
      <c r="U41" s="150"/>
      <c r="V41" s="133"/>
      <c r="W41" s="68"/>
      <c r="X41" s="133"/>
      <c r="Y41" s="150"/>
      <c r="Z41" s="150"/>
      <c r="AA41" s="68"/>
      <c r="AB41" s="150"/>
      <c r="AC41" s="150"/>
      <c r="AD41" s="150"/>
      <c r="AE41" s="68"/>
      <c r="AF41" s="150"/>
      <c r="AG41" s="150"/>
      <c r="AH41" s="68"/>
      <c r="AI41" s="150"/>
      <c r="AJ41" s="150"/>
      <c r="AK41" s="68"/>
      <c r="AL41" s="150"/>
      <c r="AM41" s="150"/>
      <c r="AN41" s="68"/>
      <c r="AO41" s="68"/>
      <c r="AP41" s="68"/>
      <c r="AQ41" s="68"/>
      <c r="AR41" s="68"/>
      <c r="AS41" s="68"/>
      <c r="AT41" s="68"/>
      <c r="AU41" s="68"/>
      <c r="AV41" s="247"/>
    </row>
    <row r="42" spans="1:48" s="22" customFormat="1" x14ac:dyDescent="0.2">
      <c r="A42" s="124"/>
      <c r="B42" s="124"/>
      <c r="C42" s="130"/>
      <c r="D42" s="124"/>
      <c r="E42" s="131"/>
      <c r="F42" s="125"/>
      <c r="G42" s="131"/>
      <c r="H42" s="125"/>
      <c r="I42" s="132"/>
      <c r="J42" s="133"/>
      <c r="K42" s="132"/>
      <c r="L42" s="133"/>
      <c r="M42" s="133"/>
      <c r="N42" s="133"/>
      <c r="O42" s="133"/>
      <c r="Q42" s="133"/>
      <c r="R42" s="133"/>
      <c r="S42" s="137"/>
      <c r="T42" s="133"/>
      <c r="U42" s="150"/>
      <c r="V42" s="133"/>
      <c r="W42" s="68"/>
      <c r="X42" s="133"/>
      <c r="Y42" s="150"/>
      <c r="Z42" s="150"/>
      <c r="AA42" s="68"/>
      <c r="AB42" s="150"/>
      <c r="AC42" s="150"/>
      <c r="AD42" s="150"/>
      <c r="AE42" s="68"/>
      <c r="AF42" s="150"/>
      <c r="AG42" s="150"/>
      <c r="AH42" s="68"/>
      <c r="AI42" s="150"/>
      <c r="AJ42" s="150"/>
      <c r="AK42" s="68"/>
      <c r="AL42" s="150"/>
      <c r="AM42" s="150"/>
      <c r="AN42" s="68"/>
      <c r="AO42" s="68"/>
      <c r="AP42" s="68"/>
      <c r="AQ42" s="68"/>
      <c r="AR42" s="68"/>
      <c r="AS42" s="68"/>
      <c r="AT42" s="68"/>
      <c r="AU42" s="68"/>
      <c r="AV42" s="247"/>
    </row>
    <row r="43" spans="1:48" s="22" customFormat="1" x14ac:dyDescent="0.2">
      <c r="A43" s="124"/>
      <c r="B43" s="124"/>
      <c r="C43" s="130"/>
      <c r="D43" s="124"/>
      <c r="E43" s="131"/>
      <c r="F43" s="125"/>
      <c r="G43" s="131"/>
      <c r="H43" s="125"/>
      <c r="I43" s="132"/>
      <c r="J43" s="133"/>
      <c r="K43" s="132"/>
      <c r="L43" s="133"/>
      <c r="M43" s="133"/>
      <c r="N43" s="133"/>
      <c r="O43" s="133"/>
      <c r="Q43" s="133"/>
      <c r="R43" s="133"/>
      <c r="S43" s="137"/>
      <c r="T43" s="133"/>
      <c r="U43" s="150"/>
      <c r="V43" s="133"/>
      <c r="W43" s="68"/>
      <c r="X43" s="133"/>
      <c r="Y43" s="150"/>
      <c r="Z43" s="150"/>
      <c r="AA43" s="68"/>
      <c r="AB43" s="150"/>
      <c r="AC43" s="150"/>
      <c r="AD43" s="150"/>
      <c r="AE43" s="68"/>
      <c r="AF43" s="150"/>
      <c r="AG43" s="150"/>
      <c r="AH43" s="68"/>
      <c r="AI43" s="150"/>
      <c r="AJ43" s="150"/>
      <c r="AK43" s="68"/>
      <c r="AL43" s="150"/>
      <c r="AM43" s="150"/>
      <c r="AN43" s="68"/>
      <c r="AO43" s="68"/>
      <c r="AP43" s="68"/>
      <c r="AQ43" s="68"/>
      <c r="AR43" s="68"/>
      <c r="AS43" s="68"/>
      <c r="AT43" s="68"/>
      <c r="AU43" s="68"/>
      <c r="AV43" s="247"/>
    </row>
    <row r="44" spans="1:48" s="22" customFormat="1" x14ac:dyDescent="0.2">
      <c r="A44" s="124"/>
      <c r="B44" s="124"/>
      <c r="C44" s="130"/>
      <c r="D44" s="124"/>
      <c r="E44" s="131"/>
      <c r="F44" s="125"/>
      <c r="G44" s="131"/>
      <c r="H44" s="125"/>
      <c r="I44" s="132"/>
      <c r="J44" s="133"/>
      <c r="K44" s="132"/>
      <c r="L44" s="133"/>
      <c r="M44" s="133"/>
      <c r="N44" s="133"/>
      <c r="O44" s="133"/>
      <c r="Q44" s="133"/>
      <c r="R44" s="133"/>
      <c r="S44" s="137"/>
      <c r="T44" s="133"/>
      <c r="U44" s="150"/>
      <c r="V44" s="133"/>
      <c r="W44" s="68"/>
      <c r="X44" s="133"/>
      <c r="Y44" s="150"/>
      <c r="Z44" s="150"/>
      <c r="AA44" s="68"/>
      <c r="AB44" s="150"/>
      <c r="AC44" s="150"/>
      <c r="AD44" s="150"/>
      <c r="AE44" s="68"/>
      <c r="AF44" s="150"/>
      <c r="AG44" s="150"/>
      <c r="AH44" s="68"/>
      <c r="AI44" s="150"/>
      <c r="AJ44" s="150"/>
      <c r="AK44" s="68"/>
      <c r="AL44" s="150"/>
      <c r="AM44" s="150"/>
      <c r="AN44" s="68"/>
      <c r="AO44" s="68"/>
      <c r="AP44" s="68"/>
      <c r="AQ44" s="68"/>
      <c r="AR44" s="68"/>
      <c r="AS44" s="68"/>
      <c r="AT44" s="68"/>
      <c r="AU44" s="68"/>
      <c r="AV44" s="247"/>
    </row>
    <row r="45" spans="1:48" s="22" customFormat="1" x14ac:dyDescent="0.2">
      <c r="A45" s="124"/>
      <c r="B45" s="124"/>
      <c r="C45" s="130"/>
      <c r="D45" s="124"/>
      <c r="E45" s="131"/>
      <c r="F45" s="125"/>
      <c r="G45" s="131"/>
      <c r="H45" s="125"/>
      <c r="I45" s="132"/>
      <c r="J45" s="133"/>
      <c r="K45" s="132"/>
      <c r="L45" s="133"/>
      <c r="M45" s="133"/>
      <c r="N45" s="133"/>
      <c r="O45" s="133"/>
      <c r="Q45" s="133"/>
      <c r="R45" s="133"/>
      <c r="S45" s="137"/>
      <c r="T45" s="133"/>
      <c r="U45" s="150"/>
      <c r="V45" s="133"/>
      <c r="W45" s="68"/>
      <c r="X45" s="133"/>
      <c r="Y45" s="150"/>
      <c r="Z45" s="150"/>
      <c r="AA45" s="68"/>
      <c r="AB45" s="150"/>
      <c r="AC45" s="150"/>
      <c r="AD45" s="150"/>
      <c r="AE45" s="68"/>
      <c r="AF45" s="150"/>
      <c r="AG45" s="150"/>
      <c r="AH45" s="68"/>
      <c r="AI45" s="150"/>
      <c r="AJ45" s="150"/>
      <c r="AK45" s="68"/>
      <c r="AL45" s="150"/>
      <c r="AM45" s="150"/>
      <c r="AN45" s="68"/>
      <c r="AO45" s="68"/>
      <c r="AP45" s="68"/>
      <c r="AQ45" s="68"/>
      <c r="AR45" s="68"/>
      <c r="AS45" s="68"/>
      <c r="AT45" s="68"/>
      <c r="AU45" s="68"/>
      <c r="AV45" s="247"/>
    </row>
    <row r="46" spans="1:48" s="22" customFormat="1" x14ac:dyDescent="0.2">
      <c r="A46" s="124"/>
      <c r="B46" s="124"/>
      <c r="C46" s="130"/>
      <c r="D46" s="124"/>
      <c r="E46" s="131"/>
      <c r="F46" s="125"/>
      <c r="G46" s="131"/>
      <c r="H46" s="125"/>
      <c r="I46" s="132"/>
      <c r="J46" s="133"/>
      <c r="K46" s="132"/>
      <c r="L46" s="133"/>
      <c r="M46" s="133"/>
      <c r="N46" s="133"/>
      <c r="O46" s="133"/>
      <c r="Q46" s="133"/>
      <c r="R46" s="133"/>
      <c r="S46" s="137"/>
      <c r="T46" s="133"/>
      <c r="U46" s="150"/>
      <c r="V46" s="133"/>
      <c r="W46" s="68"/>
      <c r="X46" s="133"/>
      <c r="Y46" s="150"/>
      <c r="Z46" s="150"/>
      <c r="AA46" s="68"/>
      <c r="AB46" s="150"/>
      <c r="AC46" s="150"/>
      <c r="AD46" s="150"/>
      <c r="AE46" s="68"/>
      <c r="AF46" s="150"/>
      <c r="AG46" s="150"/>
      <c r="AH46" s="68"/>
      <c r="AI46" s="150"/>
      <c r="AJ46" s="150"/>
      <c r="AK46" s="68"/>
      <c r="AL46" s="150"/>
      <c r="AM46" s="150"/>
      <c r="AN46" s="68"/>
      <c r="AO46" s="68"/>
      <c r="AP46" s="68"/>
      <c r="AQ46" s="68"/>
      <c r="AR46" s="68"/>
      <c r="AS46" s="68"/>
      <c r="AT46" s="68"/>
      <c r="AU46" s="68"/>
      <c r="AV46" s="247"/>
    </row>
    <row r="47" spans="1:48" s="22" customFormat="1" x14ac:dyDescent="0.2">
      <c r="A47" s="124"/>
      <c r="B47" s="124"/>
      <c r="C47" s="130"/>
      <c r="D47" s="124"/>
      <c r="E47" s="131"/>
      <c r="F47" s="125"/>
      <c r="G47" s="131"/>
      <c r="H47" s="125"/>
      <c r="I47" s="132"/>
      <c r="J47" s="133"/>
      <c r="K47" s="132"/>
      <c r="L47" s="133"/>
      <c r="M47" s="133"/>
      <c r="N47" s="133"/>
      <c r="O47" s="133"/>
      <c r="Q47" s="133"/>
      <c r="R47" s="133"/>
      <c r="S47" s="137"/>
      <c r="T47" s="133"/>
      <c r="U47" s="150"/>
      <c r="V47" s="133"/>
      <c r="W47" s="68"/>
      <c r="X47" s="133"/>
      <c r="Y47" s="150"/>
      <c r="Z47" s="150"/>
      <c r="AA47" s="68"/>
      <c r="AB47" s="150"/>
      <c r="AC47" s="150"/>
      <c r="AD47" s="150"/>
      <c r="AE47" s="68"/>
      <c r="AF47" s="150"/>
      <c r="AG47" s="150"/>
      <c r="AH47" s="68"/>
      <c r="AI47" s="150"/>
      <c r="AJ47" s="150"/>
      <c r="AK47" s="68"/>
      <c r="AL47" s="150"/>
      <c r="AM47" s="150"/>
      <c r="AN47" s="68"/>
      <c r="AO47" s="68"/>
      <c r="AP47" s="68"/>
      <c r="AQ47" s="68"/>
      <c r="AR47" s="68"/>
      <c r="AS47" s="68"/>
      <c r="AT47" s="68"/>
      <c r="AU47" s="68"/>
      <c r="AV47" s="247"/>
    </row>
    <row r="48" spans="1:48" s="22" customFormat="1" x14ac:dyDescent="0.2">
      <c r="A48" s="124"/>
      <c r="B48" s="124"/>
      <c r="C48" s="130"/>
      <c r="D48" s="124"/>
      <c r="E48" s="131"/>
      <c r="F48" s="125"/>
      <c r="G48" s="131"/>
      <c r="H48" s="125"/>
      <c r="I48" s="132"/>
      <c r="J48" s="133"/>
      <c r="K48" s="132"/>
      <c r="L48" s="133"/>
      <c r="M48" s="133"/>
      <c r="N48" s="133"/>
      <c r="O48" s="133"/>
      <c r="Q48" s="133"/>
      <c r="R48" s="133"/>
      <c r="S48" s="137"/>
      <c r="T48" s="133"/>
      <c r="U48" s="150"/>
      <c r="V48" s="133"/>
      <c r="W48" s="68"/>
      <c r="X48" s="133"/>
      <c r="Y48" s="150"/>
      <c r="Z48" s="150"/>
      <c r="AA48" s="68"/>
      <c r="AB48" s="150"/>
      <c r="AC48" s="150"/>
      <c r="AD48" s="150"/>
      <c r="AE48" s="68"/>
      <c r="AF48" s="150"/>
      <c r="AG48" s="150"/>
      <c r="AH48" s="68"/>
      <c r="AI48" s="150"/>
      <c r="AJ48" s="150"/>
      <c r="AK48" s="68"/>
      <c r="AL48" s="150"/>
      <c r="AM48" s="150"/>
      <c r="AN48" s="68"/>
      <c r="AO48" s="68"/>
      <c r="AP48" s="68"/>
      <c r="AQ48" s="68"/>
      <c r="AR48" s="68"/>
      <c r="AS48" s="68"/>
      <c r="AT48" s="68"/>
      <c r="AU48" s="68"/>
      <c r="AV48" s="247"/>
    </row>
    <row r="49" spans="1:48" s="22" customFormat="1" x14ac:dyDescent="0.2">
      <c r="A49" s="124"/>
      <c r="B49" s="124"/>
      <c r="C49" s="130"/>
      <c r="D49" s="124"/>
      <c r="E49" s="131"/>
      <c r="F49" s="125"/>
      <c r="G49" s="131"/>
      <c r="H49" s="125"/>
      <c r="I49" s="132"/>
      <c r="J49" s="133"/>
      <c r="K49" s="132"/>
      <c r="L49" s="133"/>
      <c r="M49" s="133"/>
      <c r="N49" s="133"/>
      <c r="O49" s="133"/>
      <c r="Q49" s="133"/>
      <c r="R49" s="133"/>
      <c r="S49" s="137"/>
      <c r="T49" s="133"/>
      <c r="U49" s="150"/>
      <c r="V49" s="133"/>
      <c r="W49" s="68"/>
      <c r="X49" s="133"/>
      <c r="Y49" s="150"/>
      <c r="Z49" s="150"/>
      <c r="AA49" s="68"/>
      <c r="AB49" s="150"/>
      <c r="AC49" s="150"/>
      <c r="AD49" s="150"/>
      <c r="AE49" s="68"/>
      <c r="AF49" s="150"/>
      <c r="AG49" s="150"/>
      <c r="AH49" s="68"/>
      <c r="AI49" s="150"/>
      <c r="AJ49" s="150"/>
      <c r="AK49" s="68"/>
      <c r="AL49" s="150"/>
      <c r="AM49" s="150"/>
      <c r="AN49" s="68"/>
      <c r="AO49" s="68"/>
      <c r="AP49" s="68"/>
      <c r="AQ49" s="68"/>
      <c r="AR49" s="68"/>
      <c r="AS49" s="68"/>
      <c r="AT49" s="68"/>
      <c r="AU49" s="68"/>
      <c r="AV49" s="247"/>
    </row>
    <row r="50" spans="1:48" s="22" customFormat="1" x14ac:dyDescent="0.2">
      <c r="A50" s="124"/>
      <c r="B50" s="124"/>
      <c r="C50" s="130"/>
      <c r="D50" s="124"/>
      <c r="E50" s="131"/>
      <c r="F50" s="125"/>
      <c r="G50" s="131"/>
      <c r="H50" s="125"/>
      <c r="I50" s="132"/>
      <c r="J50" s="133"/>
      <c r="K50" s="132"/>
      <c r="L50" s="133"/>
      <c r="M50" s="133"/>
      <c r="N50" s="133"/>
      <c r="O50" s="133"/>
      <c r="Q50" s="133"/>
      <c r="R50" s="133"/>
      <c r="S50" s="137"/>
      <c r="T50" s="133"/>
      <c r="U50" s="150"/>
      <c r="V50" s="133"/>
      <c r="W50" s="68"/>
      <c r="X50" s="133"/>
      <c r="Y50" s="150"/>
      <c r="Z50" s="150"/>
      <c r="AA50" s="68"/>
      <c r="AB50" s="150"/>
      <c r="AC50" s="150"/>
      <c r="AD50" s="150"/>
      <c r="AE50" s="68"/>
      <c r="AF50" s="150"/>
      <c r="AG50" s="150"/>
      <c r="AH50" s="68"/>
      <c r="AI50" s="150"/>
      <c r="AJ50" s="150"/>
      <c r="AK50" s="68"/>
      <c r="AL50" s="150"/>
      <c r="AM50" s="150"/>
      <c r="AN50" s="68"/>
      <c r="AO50" s="68"/>
      <c r="AP50" s="68"/>
      <c r="AQ50" s="68"/>
      <c r="AR50" s="68"/>
      <c r="AS50" s="68"/>
      <c r="AT50" s="68"/>
      <c r="AU50" s="68"/>
      <c r="AV50" s="247"/>
    </row>
    <row r="51" spans="1:48" x14ac:dyDescent="0.2">
      <c r="I51" s="134"/>
      <c r="J51" s="135"/>
      <c r="K51" s="134"/>
      <c r="L51" s="135"/>
      <c r="M51" s="135"/>
      <c r="N51" s="135"/>
      <c r="O51" s="135"/>
      <c r="Q51" s="135"/>
      <c r="R51" s="135"/>
      <c r="S51" s="138"/>
      <c r="T51" s="135"/>
      <c r="U51" s="151"/>
      <c r="V51" s="135"/>
      <c r="W51" s="69"/>
      <c r="X51" s="135"/>
      <c r="Y51" s="151"/>
      <c r="Z51" s="151"/>
      <c r="AA51" s="69"/>
      <c r="AB51" s="151"/>
      <c r="AC51" s="151"/>
      <c r="AD51" s="151"/>
      <c r="AE51" s="69"/>
      <c r="AF51" s="151"/>
      <c r="AG51" s="151"/>
      <c r="AH51" s="69"/>
      <c r="AI51" s="151"/>
      <c r="AJ51" s="151"/>
      <c r="AK51" s="69"/>
      <c r="AL51" s="151"/>
      <c r="AM51" s="151"/>
      <c r="AN51" s="69"/>
      <c r="AO51" s="69"/>
      <c r="AP51" s="69"/>
      <c r="AQ51" s="69"/>
      <c r="AR51" s="69"/>
      <c r="AS51" s="69"/>
      <c r="AT51" s="69"/>
      <c r="AU51" s="69"/>
      <c r="AV51" s="247"/>
    </row>
    <row r="52" spans="1:48" x14ac:dyDescent="0.2">
      <c r="I52" s="134"/>
      <c r="J52" s="135"/>
      <c r="K52" s="134"/>
      <c r="L52" s="135"/>
      <c r="M52" s="135"/>
      <c r="N52" s="135"/>
      <c r="O52" s="135"/>
      <c r="Q52" s="135"/>
      <c r="R52" s="135"/>
      <c r="S52" s="138"/>
      <c r="T52" s="135"/>
      <c r="U52" s="151"/>
      <c r="V52" s="135"/>
      <c r="W52" s="69"/>
      <c r="X52" s="135"/>
      <c r="Y52" s="151"/>
      <c r="Z52" s="151"/>
      <c r="AA52" s="69"/>
      <c r="AB52" s="151"/>
      <c r="AC52" s="151"/>
      <c r="AD52" s="151"/>
      <c r="AE52" s="69"/>
      <c r="AF52" s="151"/>
      <c r="AG52" s="151"/>
      <c r="AH52" s="69"/>
      <c r="AI52" s="151"/>
      <c r="AJ52" s="151"/>
      <c r="AK52" s="69"/>
      <c r="AL52" s="151"/>
      <c r="AM52" s="151"/>
      <c r="AN52" s="69"/>
      <c r="AO52" s="69"/>
      <c r="AP52" s="69"/>
      <c r="AQ52" s="69"/>
      <c r="AR52" s="69"/>
      <c r="AS52" s="69"/>
      <c r="AT52" s="69"/>
      <c r="AU52" s="69"/>
      <c r="AV52" s="247"/>
    </row>
    <row r="53" spans="1:48" x14ac:dyDescent="0.2">
      <c r="I53" s="134"/>
      <c r="J53" s="135"/>
      <c r="K53" s="134"/>
      <c r="L53" s="135"/>
      <c r="M53" s="135"/>
      <c r="N53" s="135"/>
      <c r="O53" s="135"/>
      <c r="Q53" s="135"/>
      <c r="R53" s="135"/>
      <c r="S53" s="138"/>
      <c r="T53" s="135"/>
      <c r="U53" s="151"/>
      <c r="V53" s="135"/>
      <c r="W53" s="69"/>
      <c r="X53" s="135"/>
      <c r="Y53" s="151"/>
      <c r="Z53" s="151"/>
      <c r="AA53" s="69"/>
      <c r="AB53" s="151"/>
      <c r="AC53" s="151"/>
      <c r="AD53" s="151"/>
      <c r="AE53" s="69"/>
      <c r="AF53" s="151"/>
      <c r="AG53" s="151"/>
      <c r="AH53" s="69"/>
      <c r="AI53" s="151"/>
      <c r="AJ53" s="151"/>
      <c r="AK53" s="69"/>
      <c r="AL53" s="151"/>
      <c r="AM53" s="151"/>
      <c r="AN53" s="69"/>
      <c r="AO53" s="69"/>
      <c r="AP53" s="69"/>
      <c r="AQ53" s="69"/>
      <c r="AR53" s="69"/>
      <c r="AS53" s="69"/>
      <c r="AT53" s="69"/>
      <c r="AU53" s="69"/>
      <c r="AV53" s="247"/>
    </row>
    <row r="54" spans="1:48" x14ac:dyDescent="0.2">
      <c r="I54" s="134"/>
      <c r="J54" s="135"/>
      <c r="K54" s="134"/>
      <c r="L54" s="135"/>
      <c r="M54" s="135"/>
      <c r="N54" s="135"/>
      <c r="O54" s="135"/>
      <c r="Q54" s="135"/>
      <c r="R54" s="135"/>
      <c r="S54" s="138"/>
      <c r="T54" s="135"/>
      <c r="U54" s="151"/>
      <c r="V54" s="135"/>
      <c r="W54" s="69"/>
      <c r="X54" s="135"/>
      <c r="Y54" s="151"/>
      <c r="Z54" s="151"/>
      <c r="AA54" s="69"/>
      <c r="AB54" s="151"/>
      <c r="AC54" s="151"/>
      <c r="AD54" s="151"/>
      <c r="AE54" s="69"/>
      <c r="AF54" s="151"/>
      <c r="AG54" s="151"/>
      <c r="AH54" s="69"/>
      <c r="AI54" s="151"/>
      <c r="AJ54" s="151"/>
      <c r="AK54" s="69"/>
      <c r="AL54" s="151"/>
      <c r="AM54" s="151"/>
      <c r="AN54" s="69"/>
      <c r="AO54" s="69"/>
      <c r="AP54" s="69"/>
      <c r="AQ54" s="69"/>
      <c r="AR54" s="69"/>
      <c r="AS54" s="69"/>
      <c r="AT54" s="69"/>
      <c r="AU54" s="69"/>
      <c r="AV54" s="247"/>
    </row>
    <row r="55" spans="1:48" x14ac:dyDescent="0.2">
      <c r="I55" s="134"/>
      <c r="J55" s="135"/>
      <c r="K55" s="134"/>
      <c r="L55" s="135"/>
      <c r="M55" s="135"/>
      <c r="N55" s="135"/>
      <c r="O55" s="135"/>
      <c r="Q55" s="135"/>
      <c r="R55" s="135"/>
      <c r="S55" s="138"/>
      <c r="T55" s="135"/>
      <c r="U55" s="151"/>
      <c r="V55" s="135"/>
      <c r="W55" s="69"/>
      <c r="X55" s="135"/>
      <c r="Y55" s="151"/>
      <c r="Z55" s="151"/>
      <c r="AA55" s="69"/>
      <c r="AB55" s="151"/>
      <c r="AC55" s="151"/>
      <c r="AD55" s="151"/>
      <c r="AE55" s="69"/>
      <c r="AF55" s="151"/>
      <c r="AG55" s="151"/>
      <c r="AH55" s="69"/>
      <c r="AI55" s="151"/>
      <c r="AJ55" s="151"/>
      <c r="AK55" s="69"/>
      <c r="AL55" s="151"/>
      <c r="AM55" s="151"/>
      <c r="AN55" s="69"/>
      <c r="AO55" s="69"/>
      <c r="AP55" s="69"/>
      <c r="AQ55" s="69"/>
      <c r="AR55" s="69"/>
      <c r="AS55" s="69"/>
      <c r="AT55" s="69"/>
      <c r="AU55" s="69"/>
      <c r="AV55" s="247"/>
    </row>
    <row r="56" spans="1:48" x14ac:dyDescent="0.2">
      <c r="I56" s="134"/>
      <c r="J56" s="135"/>
      <c r="K56" s="134"/>
      <c r="L56" s="135"/>
      <c r="M56" s="135"/>
      <c r="N56" s="135"/>
      <c r="O56" s="135"/>
      <c r="Q56" s="135"/>
      <c r="R56" s="135"/>
      <c r="S56" s="138"/>
      <c r="T56" s="135"/>
      <c r="U56" s="151"/>
      <c r="V56" s="135"/>
      <c r="W56" s="69"/>
      <c r="X56" s="135"/>
      <c r="Y56" s="151"/>
      <c r="Z56" s="151"/>
      <c r="AA56" s="69"/>
      <c r="AB56" s="151"/>
      <c r="AC56" s="151"/>
      <c r="AD56" s="151"/>
      <c r="AE56" s="69"/>
      <c r="AF56" s="151"/>
      <c r="AG56" s="151"/>
      <c r="AH56" s="69"/>
      <c r="AI56" s="151"/>
      <c r="AJ56" s="151"/>
      <c r="AK56" s="69"/>
      <c r="AL56" s="151"/>
      <c r="AM56" s="151"/>
      <c r="AN56" s="69"/>
      <c r="AO56" s="69"/>
      <c r="AP56" s="69"/>
      <c r="AQ56" s="69"/>
      <c r="AR56" s="69"/>
      <c r="AS56" s="69"/>
      <c r="AT56" s="69"/>
      <c r="AU56" s="69"/>
      <c r="AV56" s="247"/>
    </row>
    <row r="57" spans="1:48" x14ac:dyDescent="0.2">
      <c r="I57" s="134"/>
      <c r="J57" s="135"/>
      <c r="K57" s="134"/>
      <c r="L57" s="135"/>
      <c r="M57" s="135"/>
      <c r="N57" s="135"/>
      <c r="O57" s="135"/>
      <c r="Q57" s="135"/>
      <c r="R57" s="135"/>
      <c r="S57" s="138"/>
      <c r="T57" s="135"/>
      <c r="U57" s="151"/>
      <c r="V57" s="135"/>
      <c r="W57" s="69"/>
      <c r="X57" s="135"/>
      <c r="Y57" s="151"/>
      <c r="Z57" s="151"/>
      <c r="AA57" s="69"/>
      <c r="AB57" s="151"/>
      <c r="AC57" s="151"/>
      <c r="AD57" s="151"/>
      <c r="AE57" s="69"/>
      <c r="AF57" s="151"/>
      <c r="AG57" s="151"/>
      <c r="AH57" s="69"/>
      <c r="AI57" s="151"/>
      <c r="AJ57" s="151"/>
      <c r="AK57" s="69"/>
      <c r="AL57" s="151"/>
      <c r="AM57" s="151"/>
      <c r="AN57" s="69"/>
      <c r="AO57" s="69"/>
      <c r="AP57" s="69"/>
      <c r="AQ57" s="69"/>
      <c r="AR57" s="69"/>
      <c r="AS57" s="69"/>
      <c r="AT57" s="69"/>
      <c r="AU57" s="69"/>
      <c r="AV57" s="247"/>
    </row>
    <row r="58" spans="1:48" x14ac:dyDescent="0.2">
      <c r="I58" s="134"/>
      <c r="J58" s="135"/>
      <c r="K58" s="134"/>
      <c r="L58" s="135"/>
      <c r="M58" s="135"/>
      <c r="N58" s="135"/>
      <c r="O58" s="135"/>
      <c r="Q58" s="135"/>
      <c r="R58" s="135"/>
      <c r="S58" s="138"/>
      <c r="T58" s="135"/>
      <c r="U58" s="151"/>
      <c r="V58" s="135"/>
      <c r="W58" s="69"/>
      <c r="X58" s="135"/>
      <c r="Y58" s="151"/>
      <c r="Z58" s="151"/>
      <c r="AA58" s="69"/>
      <c r="AB58" s="151"/>
      <c r="AC58" s="151"/>
      <c r="AD58" s="151"/>
      <c r="AE58" s="69"/>
      <c r="AF58" s="151"/>
      <c r="AG58" s="151"/>
      <c r="AH58" s="69"/>
      <c r="AI58" s="151"/>
      <c r="AJ58" s="151"/>
      <c r="AK58" s="69"/>
      <c r="AL58" s="151"/>
      <c r="AM58" s="151"/>
      <c r="AN58" s="69"/>
      <c r="AO58" s="69"/>
      <c r="AP58" s="69"/>
      <c r="AQ58" s="69"/>
      <c r="AR58" s="69"/>
      <c r="AS58" s="69"/>
      <c r="AT58" s="69"/>
      <c r="AU58" s="69"/>
      <c r="AV58" s="247"/>
    </row>
    <row r="59" spans="1:48" x14ac:dyDescent="0.2">
      <c r="I59" s="134"/>
      <c r="J59" s="135"/>
      <c r="K59" s="134"/>
      <c r="L59" s="135"/>
      <c r="M59" s="135"/>
      <c r="N59" s="135"/>
      <c r="O59" s="135"/>
      <c r="Q59" s="135"/>
      <c r="R59" s="135"/>
      <c r="S59" s="138"/>
      <c r="T59" s="135"/>
      <c r="U59" s="151"/>
      <c r="V59" s="135"/>
      <c r="W59" s="69"/>
      <c r="X59" s="135"/>
      <c r="Y59" s="151"/>
      <c r="Z59" s="151"/>
      <c r="AA59" s="69"/>
      <c r="AB59" s="151"/>
      <c r="AC59" s="151"/>
      <c r="AD59" s="151"/>
      <c r="AE59" s="69"/>
      <c r="AF59" s="151"/>
      <c r="AG59" s="151"/>
      <c r="AH59" s="69"/>
      <c r="AI59" s="151"/>
      <c r="AJ59" s="151"/>
      <c r="AK59" s="69"/>
      <c r="AL59" s="151"/>
      <c r="AM59" s="151"/>
      <c r="AN59" s="69"/>
      <c r="AO59" s="69"/>
      <c r="AP59" s="69"/>
      <c r="AQ59" s="69"/>
      <c r="AR59" s="69"/>
      <c r="AS59" s="69"/>
      <c r="AT59" s="69"/>
      <c r="AU59" s="69"/>
      <c r="AV59" s="247"/>
    </row>
    <row r="60" spans="1:48" x14ac:dyDescent="0.2">
      <c r="I60" s="134"/>
      <c r="J60" s="135"/>
      <c r="K60" s="134"/>
      <c r="L60" s="135"/>
      <c r="M60" s="135"/>
      <c r="N60" s="135"/>
      <c r="O60" s="135"/>
      <c r="Q60" s="135"/>
      <c r="R60" s="135"/>
      <c r="S60" s="138"/>
      <c r="T60" s="135"/>
      <c r="U60" s="151"/>
      <c r="V60" s="135"/>
      <c r="W60" s="69"/>
      <c r="X60" s="135"/>
      <c r="Y60" s="151"/>
      <c r="Z60" s="151"/>
      <c r="AA60" s="69"/>
      <c r="AB60" s="151"/>
      <c r="AC60" s="151"/>
      <c r="AD60" s="151"/>
      <c r="AE60" s="69"/>
      <c r="AF60" s="151"/>
      <c r="AG60" s="151"/>
      <c r="AH60" s="69"/>
      <c r="AI60" s="151"/>
      <c r="AJ60" s="151"/>
      <c r="AK60" s="69"/>
      <c r="AL60" s="151"/>
      <c r="AM60" s="151"/>
      <c r="AN60" s="69"/>
      <c r="AO60" s="69"/>
      <c r="AP60" s="69"/>
      <c r="AQ60" s="69"/>
      <c r="AR60" s="69"/>
      <c r="AS60" s="69"/>
      <c r="AT60" s="69"/>
      <c r="AU60" s="69"/>
      <c r="AV60" s="247"/>
    </row>
    <row r="61" spans="1:48" x14ac:dyDescent="0.2">
      <c r="I61" s="134"/>
      <c r="J61" s="135"/>
      <c r="K61" s="134"/>
      <c r="L61" s="135"/>
      <c r="M61" s="135"/>
      <c r="N61" s="135"/>
      <c r="O61" s="135"/>
      <c r="Q61" s="135"/>
      <c r="R61" s="135"/>
      <c r="S61" s="138"/>
      <c r="T61" s="135"/>
      <c r="U61" s="151"/>
      <c r="V61" s="135"/>
      <c r="W61" s="69"/>
      <c r="X61" s="135"/>
      <c r="Y61" s="151"/>
      <c r="Z61" s="151"/>
      <c r="AA61" s="69"/>
      <c r="AB61" s="151"/>
      <c r="AC61" s="151"/>
      <c r="AD61" s="151"/>
      <c r="AE61" s="69"/>
      <c r="AF61" s="151"/>
      <c r="AG61" s="151"/>
      <c r="AH61" s="69"/>
      <c r="AI61" s="151"/>
      <c r="AJ61" s="151"/>
      <c r="AK61" s="69"/>
      <c r="AL61" s="151"/>
      <c r="AM61" s="151"/>
      <c r="AN61" s="69"/>
      <c r="AO61" s="69"/>
      <c r="AP61" s="69"/>
      <c r="AQ61" s="69"/>
      <c r="AR61" s="69"/>
      <c r="AS61" s="69"/>
      <c r="AT61" s="69"/>
      <c r="AU61" s="69"/>
      <c r="AV61" s="247"/>
    </row>
    <row r="62" spans="1:48" x14ac:dyDescent="0.2">
      <c r="I62" s="134"/>
      <c r="J62" s="135"/>
      <c r="K62" s="134"/>
      <c r="L62" s="135"/>
      <c r="M62" s="135"/>
      <c r="N62" s="135"/>
      <c r="O62" s="135"/>
      <c r="Q62" s="135"/>
      <c r="R62" s="135"/>
      <c r="S62" s="138"/>
      <c r="T62" s="135"/>
      <c r="U62" s="151"/>
      <c r="V62" s="135"/>
      <c r="W62" s="69"/>
      <c r="X62" s="135"/>
      <c r="Y62" s="151"/>
      <c r="Z62" s="151"/>
      <c r="AA62" s="69"/>
      <c r="AB62" s="151"/>
      <c r="AC62" s="151"/>
      <c r="AD62" s="151"/>
      <c r="AE62" s="69"/>
      <c r="AF62" s="151"/>
      <c r="AG62" s="151"/>
      <c r="AH62" s="69"/>
      <c r="AI62" s="151"/>
      <c r="AJ62" s="151"/>
      <c r="AK62" s="69"/>
      <c r="AL62" s="151"/>
      <c r="AM62" s="151"/>
      <c r="AN62" s="69"/>
      <c r="AO62" s="69"/>
      <c r="AP62" s="69"/>
      <c r="AQ62" s="69"/>
      <c r="AR62" s="69"/>
      <c r="AS62" s="69"/>
      <c r="AT62" s="69"/>
      <c r="AU62" s="69"/>
      <c r="AV62" s="247"/>
    </row>
    <row r="63" spans="1:48" x14ac:dyDescent="0.2">
      <c r="I63" s="134"/>
      <c r="J63" s="135"/>
      <c r="K63" s="134"/>
      <c r="L63" s="135"/>
      <c r="M63" s="135"/>
      <c r="N63" s="135"/>
      <c r="O63" s="135"/>
      <c r="Q63" s="135"/>
      <c r="R63" s="135"/>
      <c r="S63" s="138"/>
      <c r="T63" s="135"/>
      <c r="U63" s="151"/>
      <c r="V63" s="135"/>
      <c r="W63" s="69"/>
      <c r="X63" s="135"/>
      <c r="Y63" s="151"/>
      <c r="Z63" s="151"/>
      <c r="AA63" s="69"/>
      <c r="AB63" s="151"/>
      <c r="AC63" s="151"/>
      <c r="AD63" s="151"/>
      <c r="AE63" s="69"/>
      <c r="AF63" s="151"/>
      <c r="AG63" s="151"/>
      <c r="AH63" s="69"/>
      <c r="AI63" s="151"/>
      <c r="AJ63" s="151"/>
      <c r="AK63" s="69"/>
      <c r="AL63" s="151"/>
      <c r="AM63" s="151"/>
      <c r="AN63" s="69"/>
      <c r="AO63" s="69"/>
      <c r="AP63" s="69"/>
      <c r="AQ63" s="69"/>
      <c r="AR63" s="69"/>
      <c r="AS63" s="69"/>
      <c r="AT63" s="69"/>
      <c r="AU63" s="69"/>
      <c r="AV63" s="247"/>
    </row>
    <row r="64" spans="1:48" x14ac:dyDescent="0.2">
      <c r="I64" s="134"/>
      <c r="J64" s="135"/>
      <c r="K64" s="134"/>
      <c r="L64" s="135"/>
      <c r="M64" s="135"/>
      <c r="N64" s="135"/>
      <c r="O64" s="135"/>
      <c r="Q64" s="135"/>
      <c r="R64" s="135"/>
      <c r="S64" s="138"/>
      <c r="T64" s="135"/>
      <c r="U64" s="151"/>
      <c r="V64" s="135"/>
      <c r="W64" s="69"/>
      <c r="X64" s="135"/>
      <c r="Y64" s="151"/>
      <c r="Z64" s="151"/>
      <c r="AA64" s="69"/>
      <c r="AB64" s="151"/>
      <c r="AC64" s="151"/>
      <c r="AD64" s="151"/>
      <c r="AE64" s="69"/>
      <c r="AF64" s="151"/>
      <c r="AG64" s="151"/>
      <c r="AH64" s="69"/>
      <c r="AI64" s="151"/>
      <c r="AJ64" s="151"/>
      <c r="AK64" s="69"/>
      <c r="AL64" s="151"/>
      <c r="AM64" s="151"/>
      <c r="AN64" s="69"/>
      <c r="AO64" s="69"/>
      <c r="AP64" s="69"/>
      <c r="AQ64" s="69"/>
      <c r="AR64" s="69"/>
      <c r="AS64" s="69"/>
      <c r="AT64" s="69"/>
      <c r="AU64" s="69"/>
      <c r="AV64" s="247"/>
    </row>
    <row r="65" spans="1:48" x14ac:dyDescent="0.2">
      <c r="A65" s="21"/>
      <c r="B65" s="21"/>
      <c r="C65" s="21"/>
      <c r="D65" s="21"/>
      <c r="E65" s="21"/>
      <c r="F65" s="21"/>
      <c r="G65" s="21"/>
      <c r="H65" s="21"/>
      <c r="I65" s="134"/>
      <c r="J65" s="135"/>
      <c r="K65" s="134"/>
      <c r="L65" s="135"/>
      <c r="M65" s="135"/>
      <c r="N65" s="135"/>
      <c r="O65" s="135"/>
      <c r="Q65" s="135"/>
      <c r="R65" s="135"/>
      <c r="S65" s="138"/>
      <c r="T65" s="135"/>
      <c r="U65" s="151"/>
      <c r="V65" s="135"/>
      <c r="W65" s="69"/>
      <c r="X65" s="135"/>
      <c r="Y65" s="151"/>
      <c r="Z65" s="151"/>
      <c r="AA65" s="69"/>
      <c r="AB65" s="151"/>
      <c r="AC65" s="151"/>
      <c r="AD65" s="151"/>
      <c r="AE65" s="69"/>
      <c r="AF65" s="151"/>
      <c r="AG65" s="151"/>
      <c r="AH65" s="69"/>
      <c r="AI65" s="151"/>
      <c r="AJ65" s="151"/>
      <c r="AK65" s="69"/>
      <c r="AL65" s="151"/>
      <c r="AM65" s="151"/>
      <c r="AN65" s="69"/>
      <c r="AO65" s="69"/>
      <c r="AP65" s="69"/>
      <c r="AQ65" s="69"/>
      <c r="AR65" s="69"/>
      <c r="AS65" s="69"/>
      <c r="AT65" s="69"/>
      <c r="AU65" s="69"/>
      <c r="AV65" s="247"/>
    </row>
    <row r="66" spans="1:48" x14ac:dyDescent="0.2">
      <c r="A66" s="21"/>
      <c r="B66" s="21"/>
      <c r="C66" s="21"/>
      <c r="D66" s="21"/>
      <c r="E66" s="21"/>
      <c r="F66" s="21"/>
      <c r="G66" s="21"/>
      <c r="H66" s="21"/>
      <c r="I66" s="134"/>
      <c r="J66" s="135"/>
      <c r="K66" s="134"/>
      <c r="L66" s="135"/>
      <c r="M66" s="135"/>
      <c r="N66" s="135"/>
      <c r="O66" s="135"/>
      <c r="Q66" s="135"/>
      <c r="R66" s="135"/>
      <c r="S66" s="138"/>
      <c r="T66" s="135"/>
      <c r="U66" s="151"/>
      <c r="V66" s="135"/>
      <c r="W66" s="69"/>
      <c r="X66" s="135"/>
      <c r="Y66" s="151"/>
      <c r="Z66" s="151"/>
      <c r="AA66" s="69"/>
      <c r="AB66" s="151"/>
      <c r="AC66" s="151"/>
      <c r="AD66" s="151"/>
      <c r="AE66" s="69"/>
      <c r="AF66" s="151"/>
      <c r="AG66" s="151"/>
      <c r="AH66" s="69"/>
      <c r="AI66" s="151"/>
      <c r="AJ66" s="151"/>
      <c r="AK66" s="69"/>
      <c r="AL66" s="151"/>
      <c r="AM66" s="151"/>
      <c r="AN66" s="69"/>
      <c r="AO66" s="69"/>
      <c r="AP66" s="69"/>
      <c r="AQ66" s="69"/>
      <c r="AR66" s="69"/>
      <c r="AS66" s="69"/>
      <c r="AT66" s="69"/>
      <c r="AU66" s="69"/>
      <c r="AV66" s="247"/>
    </row>
    <row r="67" spans="1:48" x14ac:dyDescent="0.2">
      <c r="A67" s="21"/>
      <c r="B67" s="21"/>
      <c r="C67" s="21"/>
      <c r="D67" s="21"/>
      <c r="E67" s="21"/>
      <c r="F67" s="21"/>
      <c r="G67" s="21"/>
      <c r="H67" s="21"/>
      <c r="I67" s="134"/>
      <c r="J67" s="135"/>
      <c r="K67" s="134"/>
      <c r="L67" s="135"/>
      <c r="M67" s="135"/>
      <c r="N67" s="135"/>
      <c r="O67" s="135"/>
      <c r="Q67" s="135"/>
      <c r="R67" s="135"/>
      <c r="S67" s="138"/>
      <c r="T67" s="135"/>
      <c r="U67" s="151"/>
      <c r="V67" s="135"/>
      <c r="W67" s="69"/>
      <c r="X67" s="135"/>
      <c r="Y67" s="151"/>
      <c r="Z67" s="151"/>
      <c r="AA67" s="69"/>
      <c r="AB67" s="151"/>
      <c r="AC67" s="151"/>
      <c r="AD67" s="151"/>
      <c r="AE67" s="69"/>
      <c r="AF67" s="151"/>
      <c r="AG67" s="151"/>
      <c r="AH67" s="69"/>
      <c r="AI67" s="151"/>
      <c r="AJ67" s="151"/>
      <c r="AK67" s="69"/>
      <c r="AL67" s="151"/>
      <c r="AM67" s="151"/>
      <c r="AN67" s="69"/>
      <c r="AO67" s="69"/>
      <c r="AP67" s="69"/>
      <c r="AQ67" s="69"/>
      <c r="AR67" s="69"/>
      <c r="AS67" s="69"/>
      <c r="AT67" s="69"/>
      <c r="AU67" s="69"/>
      <c r="AV67" s="247"/>
    </row>
    <row r="68" spans="1:48" x14ac:dyDescent="0.2">
      <c r="A68" s="21"/>
      <c r="B68" s="21"/>
      <c r="C68" s="21"/>
      <c r="D68" s="21"/>
      <c r="E68" s="21"/>
      <c r="F68" s="21"/>
      <c r="G68" s="21"/>
      <c r="H68" s="21"/>
      <c r="I68" s="134"/>
      <c r="J68" s="135"/>
      <c r="K68" s="134"/>
      <c r="L68" s="135"/>
      <c r="M68" s="135"/>
      <c r="N68" s="135"/>
      <c r="O68" s="135"/>
      <c r="Q68" s="135"/>
      <c r="R68" s="135"/>
      <c r="S68" s="138"/>
      <c r="T68" s="135"/>
      <c r="U68" s="151"/>
      <c r="V68" s="135"/>
      <c r="W68" s="69"/>
      <c r="X68" s="135"/>
      <c r="Y68" s="151"/>
      <c r="Z68" s="151"/>
      <c r="AA68" s="69"/>
      <c r="AB68" s="151"/>
      <c r="AC68" s="151"/>
      <c r="AD68" s="151"/>
      <c r="AE68" s="69"/>
      <c r="AF68" s="151"/>
      <c r="AG68" s="151"/>
      <c r="AH68" s="69"/>
      <c r="AI68" s="151"/>
      <c r="AJ68" s="151"/>
      <c r="AK68" s="69"/>
      <c r="AL68" s="151"/>
      <c r="AM68" s="151"/>
      <c r="AN68" s="69"/>
      <c r="AO68" s="69"/>
      <c r="AP68" s="69"/>
      <c r="AQ68" s="69"/>
      <c r="AR68" s="69"/>
      <c r="AS68" s="69"/>
      <c r="AT68" s="69"/>
      <c r="AU68" s="69"/>
      <c r="AV68" s="247"/>
    </row>
    <row r="69" spans="1:48" x14ac:dyDescent="0.2">
      <c r="A69" s="21"/>
      <c r="B69" s="21"/>
      <c r="C69" s="21"/>
      <c r="D69" s="21"/>
      <c r="E69" s="21"/>
      <c r="F69" s="21"/>
      <c r="G69" s="21"/>
      <c r="H69" s="21"/>
      <c r="I69" s="134"/>
      <c r="J69" s="135"/>
      <c r="K69" s="134"/>
      <c r="L69" s="135"/>
      <c r="M69" s="135"/>
      <c r="N69" s="135"/>
      <c r="O69" s="135"/>
      <c r="Q69" s="135"/>
      <c r="R69" s="135"/>
      <c r="S69" s="138"/>
      <c r="T69" s="135"/>
      <c r="U69" s="151"/>
      <c r="V69" s="135"/>
      <c r="W69" s="69"/>
      <c r="X69" s="135"/>
      <c r="Y69" s="151"/>
      <c r="Z69" s="151"/>
      <c r="AA69" s="69"/>
      <c r="AB69" s="151"/>
      <c r="AC69" s="151"/>
      <c r="AD69" s="151"/>
      <c r="AE69" s="69"/>
      <c r="AF69" s="151"/>
      <c r="AG69" s="151"/>
      <c r="AH69" s="69"/>
      <c r="AI69" s="151"/>
      <c r="AJ69" s="151"/>
      <c r="AK69" s="69"/>
      <c r="AL69" s="151"/>
      <c r="AM69" s="151"/>
      <c r="AN69" s="69"/>
      <c r="AO69" s="69"/>
      <c r="AP69" s="69"/>
      <c r="AQ69" s="69"/>
      <c r="AR69" s="69"/>
      <c r="AS69" s="69"/>
      <c r="AT69" s="69"/>
      <c r="AU69" s="69"/>
      <c r="AV69" s="247"/>
    </row>
    <row r="70" spans="1:48" x14ac:dyDescent="0.2">
      <c r="A70" s="21"/>
      <c r="B70" s="21"/>
      <c r="C70" s="21"/>
      <c r="D70" s="21"/>
      <c r="E70" s="21"/>
      <c r="F70" s="21"/>
      <c r="G70" s="21"/>
      <c r="H70" s="21"/>
      <c r="I70" s="134"/>
      <c r="J70" s="135"/>
      <c r="K70" s="134"/>
      <c r="L70" s="135"/>
      <c r="M70" s="135"/>
      <c r="N70" s="135"/>
      <c r="O70" s="135"/>
      <c r="Q70" s="135"/>
      <c r="R70" s="135"/>
      <c r="S70" s="138"/>
      <c r="T70" s="135"/>
      <c r="U70" s="151"/>
      <c r="V70" s="135"/>
      <c r="W70" s="69"/>
      <c r="X70" s="135"/>
      <c r="Y70" s="151"/>
      <c r="Z70" s="151"/>
      <c r="AA70" s="69"/>
      <c r="AB70" s="151"/>
      <c r="AC70" s="151"/>
      <c r="AD70" s="151"/>
      <c r="AE70" s="69"/>
      <c r="AF70" s="151"/>
      <c r="AG70" s="151"/>
      <c r="AH70" s="69"/>
      <c r="AI70" s="151"/>
      <c r="AJ70" s="151"/>
      <c r="AK70" s="69"/>
      <c r="AL70" s="151"/>
      <c r="AM70" s="151"/>
      <c r="AN70" s="69"/>
      <c r="AO70" s="69"/>
      <c r="AP70" s="69"/>
      <c r="AQ70" s="69"/>
      <c r="AR70" s="69"/>
      <c r="AS70" s="69"/>
      <c r="AT70" s="69"/>
      <c r="AU70" s="69"/>
      <c r="AV70" s="247"/>
    </row>
    <row r="71" spans="1:48" x14ac:dyDescent="0.2">
      <c r="A71" s="21"/>
      <c r="B71" s="21"/>
      <c r="C71" s="21"/>
      <c r="D71" s="21"/>
      <c r="E71" s="21"/>
      <c r="F71" s="21"/>
      <c r="G71" s="21"/>
      <c r="H71" s="21"/>
      <c r="I71" s="134"/>
      <c r="J71" s="135"/>
      <c r="K71" s="134"/>
      <c r="L71" s="135"/>
      <c r="M71" s="135"/>
      <c r="N71" s="135"/>
      <c r="O71" s="135"/>
      <c r="Q71" s="135"/>
      <c r="R71" s="135"/>
      <c r="S71" s="138"/>
      <c r="T71" s="135"/>
      <c r="U71" s="151"/>
      <c r="V71" s="135"/>
      <c r="W71" s="69"/>
      <c r="X71" s="135"/>
      <c r="Y71" s="151"/>
      <c r="Z71" s="151"/>
      <c r="AA71" s="69"/>
      <c r="AB71" s="151"/>
      <c r="AC71" s="151"/>
      <c r="AD71" s="151"/>
      <c r="AE71" s="69"/>
      <c r="AF71" s="151"/>
      <c r="AG71" s="151"/>
      <c r="AH71" s="69"/>
      <c r="AI71" s="151"/>
      <c r="AJ71" s="151"/>
      <c r="AK71" s="69"/>
      <c r="AL71" s="151"/>
      <c r="AM71" s="151"/>
      <c r="AN71" s="69"/>
      <c r="AO71" s="69"/>
      <c r="AP71" s="69"/>
      <c r="AQ71" s="69"/>
      <c r="AR71" s="69"/>
      <c r="AS71" s="69"/>
      <c r="AT71" s="69"/>
      <c r="AU71" s="69"/>
      <c r="AV71" s="247"/>
    </row>
    <row r="72" spans="1:48" x14ac:dyDescent="0.2">
      <c r="A72" s="21"/>
      <c r="B72" s="21"/>
      <c r="C72" s="21"/>
      <c r="D72" s="21"/>
      <c r="E72" s="21"/>
      <c r="F72" s="21"/>
      <c r="G72" s="21"/>
      <c r="H72" s="21"/>
      <c r="I72" s="134"/>
      <c r="J72" s="135"/>
      <c r="K72" s="134"/>
      <c r="L72" s="135"/>
      <c r="M72" s="135"/>
      <c r="N72" s="135"/>
      <c r="O72" s="135"/>
      <c r="Q72" s="135"/>
      <c r="R72" s="135"/>
      <c r="S72" s="138"/>
      <c r="T72" s="135"/>
      <c r="U72" s="151"/>
      <c r="V72" s="135"/>
      <c r="W72" s="69"/>
      <c r="X72" s="135"/>
      <c r="Y72" s="151"/>
      <c r="Z72" s="151"/>
      <c r="AA72" s="69"/>
      <c r="AB72" s="151"/>
      <c r="AC72" s="151"/>
      <c r="AD72" s="151"/>
      <c r="AE72" s="69"/>
      <c r="AF72" s="151"/>
      <c r="AG72" s="151"/>
      <c r="AH72" s="69"/>
      <c r="AI72" s="151"/>
      <c r="AJ72" s="151"/>
      <c r="AK72" s="69"/>
      <c r="AL72" s="151"/>
      <c r="AM72" s="151"/>
      <c r="AN72" s="69"/>
      <c r="AO72" s="69"/>
      <c r="AP72" s="69"/>
      <c r="AQ72" s="69"/>
      <c r="AR72" s="69"/>
      <c r="AS72" s="69"/>
      <c r="AT72" s="69"/>
      <c r="AU72" s="69"/>
      <c r="AV72" s="247"/>
    </row>
    <row r="73" spans="1:48" x14ac:dyDescent="0.2">
      <c r="A73" s="21"/>
      <c r="B73" s="21"/>
      <c r="C73" s="21"/>
      <c r="D73" s="21"/>
      <c r="E73" s="21"/>
      <c r="F73" s="21"/>
      <c r="G73" s="21"/>
      <c r="H73" s="21"/>
      <c r="I73" s="134"/>
      <c r="J73" s="135"/>
      <c r="K73" s="134"/>
      <c r="L73" s="135"/>
      <c r="M73" s="135"/>
      <c r="N73" s="135"/>
      <c r="O73" s="135"/>
      <c r="Q73" s="135"/>
      <c r="R73" s="135"/>
      <c r="S73" s="138"/>
      <c r="T73" s="135"/>
      <c r="U73" s="151"/>
      <c r="V73" s="135"/>
      <c r="W73" s="69"/>
      <c r="X73" s="135"/>
      <c r="Y73" s="151"/>
      <c r="Z73" s="151"/>
      <c r="AA73" s="69"/>
      <c r="AB73" s="151"/>
      <c r="AC73" s="151"/>
      <c r="AD73" s="151"/>
      <c r="AE73" s="69"/>
      <c r="AF73" s="151"/>
      <c r="AG73" s="151"/>
      <c r="AH73" s="69"/>
      <c r="AI73" s="151"/>
      <c r="AJ73" s="151"/>
      <c r="AK73" s="69"/>
      <c r="AL73" s="151"/>
      <c r="AM73" s="151"/>
      <c r="AN73" s="69"/>
      <c r="AO73" s="69"/>
      <c r="AP73" s="69"/>
      <c r="AQ73" s="69"/>
      <c r="AR73" s="69"/>
      <c r="AS73" s="69"/>
      <c r="AT73" s="69"/>
      <c r="AU73" s="69"/>
      <c r="AV73" s="247"/>
    </row>
    <row r="74" spans="1:48" x14ac:dyDescent="0.2">
      <c r="A74" s="21"/>
      <c r="B74" s="21"/>
      <c r="C74" s="21"/>
      <c r="D74" s="21"/>
      <c r="E74" s="21"/>
      <c r="F74" s="21"/>
      <c r="G74" s="21"/>
      <c r="H74" s="21"/>
      <c r="I74" s="134"/>
      <c r="J74" s="135"/>
      <c r="K74" s="134"/>
      <c r="L74" s="135"/>
      <c r="M74" s="135"/>
      <c r="N74" s="135"/>
      <c r="O74" s="135"/>
      <c r="Q74" s="135"/>
      <c r="R74" s="135"/>
      <c r="S74" s="138"/>
      <c r="T74" s="135"/>
      <c r="U74" s="151"/>
      <c r="V74" s="135"/>
      <c r="W74" s="69"/>
      <c r="X74" s="135"/>
      <c r="Y74" s="151"/>
      <c r="Z74" s="151"/>
      <c r="AA74" s="69"/>
      <c r="AB74" s="151"/>
      <c r="AC74" s="151"/>
      <c r="AD74" s="151"/>
      <c r="AE74" s="69"/>
      <c r="AF74" s="151"/>
      <c r="AG74" s="151"/>
      <c r="AH74" s="69"/>
      <c r="AI74" s="151"/>
      <c r="AJ74" s="151"/>
      <c r="AK74" s="69"/>
      <c r="AL74" s="151"/>
      <c r="AM74" s="151"/>
      <c r="AN74" s="69"/>
      <c r="AO74" s="69"/>
      <c r="AP74" s="69"/>
      <c r="AQ74" s="69"/>
      <c r="AR74" s="69"/>
      <c r="AS74" s="69"/>
      <c r="AT74" s="69"/>
      <c r="AU74" s="69"/>
      <c r="AV74" s="247"/>
    </row>
    <row r="75" spans="1:48" x14ac:dyDescent="0.2">
      <c r="A75" s="21"/>
      <c r="B75" s="21"/>
      <c r="C75" s="21"/>
      <c r="D75" s="21"/>
      <c r="E75" s="21"/>
      <c r="F75" s="21"/>
      <c r="G75" s="21"/>
      <c r="H75" s="21"/>
      <c r="I75" s="134"/>
      <c r="J75" s="135"/>
      <c r="K75" s="134"/>
      <c r="L75" s="135"/>
      <c r="M75" s="135"/>
      <c r="N75" s="135"/>
      <c r="O75" s="135"/>
      <c r="Q75" s="135"/>
      <c r="R75" s="135"/>
      <c r="S75" s="138"/>
      <c r="T75" s="135"/>
      <c r="U75" s="151"/>
      <c r="V75" s="135"/>
      <c r="W75" s="69"/>
      <c r="X75" s="135"/>
      <c r="Y75" s="151"/>
      <c r="Z75" s="151"/>
      <c r="AA75" s="69"/>
      <c r="AB75" s="151"/>
      <c r="AC75" s="151"/>
      <c r="AD75" s="151"/>
      <c r="AE75" s="69"/>
      <c r="AF75" s="151"/>
      <c r="AG75" s="151"/>
      <c r="AH75" s="69"/>
      <c r="AI75" s="151"/>
      <c r="AJ75" s="151"/>
      <c r="AK75" s="69"/>
      <c r="AL75" s="151"/>
      <c r="AM75" s="151"/>
      <c r="AN75" s="69"/>
      <c r="AO75" s="69"/>
      <c r="AP75" s="69"/>
      <c r="AQ75" s="69"/>
      <c r="AR75" s="69"/>
      <c r="AS75" s="69"/>
      <c r="AT75" s="69"/>
      <c r="AU75" s="69"/>
    </row>
    <row r="76" spans="1:48" x14ac:dyDescent="0.2">
      <c r="A76" s="21"/>
      <c r="B76" s="21"/>
      <c r="C76" s="21"/>
      <c r="D76" s="21"/>
      <c r="E76" s="21"/>
      <c r="F76" s="21"/>
      <c r="G76" s="21"/>
      <c r="H76" s="21"/>
      <c r="I76" s="134"/>
      <c r="J76" s="135"/>
      <c r="K76" s="134"/>
      <c r="L76" s="135"/>
      <c r="M76" s="135"/>
      <c r="N76" s="135"/>
      <c r="O76" s="135"/>
      <c r="Q76" s="135"/>
      <c r="R76" s="135"/>
      <c r="S76" s="138"/>
      <c r="T76" s="135"/>
      <c r="U76" s="151"/>
      <c r="V76" s="135"/>
      <c r="W76" s="69"/>
      <c r="X76" s="135"/>
      <c r="Y76" s="151"/>
      <c r="Z76" s="151"/>
      <c r="AA76" s="69"/>
      <c r="AB76" s="151"/>
      <c r="AC76" s="151"/>
      <c r="AD76" s="151"/>
      <c r="AE76" s="69"/>
      <c r="AF76" s="151"/>
      <c r="AG76" s="151"/>
      <c r="AH76" s="69"/>
      <c r="AI76" s="151"/>
      <c r="AJ76" s="151"/>
      <c r="AK76" s="69"/>
      <c r="AL76" s="151"/>
      <c r="AM76" s="151"/>
      <c r="AN76" s="69"/>
      <c r="AO76" s="69"/>
      <c r="AP76" s="69"/>
      <c r="AQ76" s="69"/>
      <c r="AR76" s="69"/>
      <c r="AS76" s="69"/>
      <c r="AT76" s="69"/>
      <c r="AU76" s="69"/>
    </row>
    <row r="77" spans="1:48" x14ac:dyDescent="0.2">
      <c r="A77" s="21"/>
      <c r="B77" s="21"/>
      <c r="C77" s="21"/>
      <c r="D77" s="21"/>
      <c r="E77" s="21"/>
      <c r="F77" s="21"/>
      <c r="G77" s="21"/>
      <c r="H77" s="21"/>
      <c r="I77" s="134"/>
      <c r="J77" s="135"/>
      <c r="K77" s="134"/>
      <c r="L77" s="135"/>
      <c r="M77" s="135"/>
      <c r="N77" s="135"/>
      <c r="O77" s="135"/>
      <c r="Q77" s="135"/>
      <c r="R77" s="135"/>
      <c r="S77" s="138"/>
      <c r="T77" s="135"/>
      <c r="U77" s="151"/>
      <c r="V77" s="135"/>
      <c r="W77" s="69"/>
      <c r="X77" s="135"/>
      <c r="Y77" s="151"/>
      <c r="Z77" s="151"/>
      <c r="AA77" s="69"/>
      <c r="AB77" s="151"/>
      <c r="AC77" s="151"/>
      <c r="AD77" s="151"/>
      <c r="AE77" s="69"/>
      <c r="AF77" s="151"/>
      <c r="AG77" s="151"/>
      <c r="AH77" s="69"/>
      <c r="AI77" s="151"/>
      <c r="AJ77" s="151"/>
      <c r="AK77" s="69"/>
      <c r="AL77" s="151"/>
      <c r="AM77" s="151"/>
      <c r="AN77" s="69"/>
      <c r="AO77" s="69"/>
      <c r="AP77" s="69"/>
      <c r="AQ77" s="69"/>
      <c r="AR77" s="69"/>
      <c r="AS77" s="69"/>
      <c r="AT77" s="69"/>
      <c r="AU77" s="69"/>
    </row>
    <row r="78" spans="1:48" x14ac:dyDescent="0.2">
      <c r="A78" s="21"/>
      <c r="B78" s="21"/>
      <c r="C78" s="21"/>
      <c r="D78" s="21"/>
      <c r="E78" s="21"/>
      <c r="F78" s="21"/>
      <c r="G78" s="21"/>
      <c r="H78" s="21"/>
      <c r="I78" s="134"/>
      <c r="J78" s="135"/>
      <c r="K78" s="134"/>
      <c r="L78" s="135"/>
      <c r="M78" s="135"/>
      <c r="N78" s="135"/>
      <c r="O78" s="135"/>
      <c r="Q78" s="135"/>
      <c r="R78" s="135"/>
      <c r="S78" s="138"/>
      <c r="T78" s="135"/>
      <c r="U78" s="151"/>
      <c r="V78" s="135"/>
      <c r="W78" s="69"/>
      <c r="X78" s="135"/>
      <c r="Y78" s="151"/>
      <c r="Z78" s="151"/>
      <c r="AA78" s="69"/>
      <c r="AB78" s="151"/>
      <c r="AC78" s="151"/>
      <c r="AD78" s="151"/>
      <c r="AE78" s="69"/>
      <c r="AF78" s="151"/>
      <c r="AG78" s="151"/>
      <c r="AH78" s="69"/>
      <c r="AI78" s="151"/>
      <c r="AJ78" s="151"/>
      <c r="AK78" s="69"/>
      <c r="AL78" s="151"/>
      <c r="AM78" s="151"/>
      <c r="AN78" s="69"/>
      <c r="AO78" s="69"/>
      <c r="AP78" s="69"/>
      <c r="AQ78" s="69"/>
      <c r="AR78" s="69"/>
      <c r="AS78" s="69"/>
      <c r="AT78" s="69"/>
      <c r="AU78" s="69"/>
    </row>
    <row r="79" spans="1:48" x14ac:dyDescent="0.2">
      <c r="A79" s="21"/>
      <c r="B79" s="21"/>
      <c r="C79" s="21"/>
      <c r="D79" s="21"/>
      <c r="E79" s="21"/>
      <c r="F79" s="21"/>
      <c r="G79" s="21"/>
      <c r="H79" s="21"/>
      <c r="I79" s="134"/>
      <c r="J79" s="135"/>
      <c r="K79" s="134"/>
      <c r="L79" s="135"/>
      <c r="M79" s="135"/>
      <c r="N79" s="135"/>
      <c r="O79" s="135"/>
      <c r="Q79" s="135"/>
      <c r="R79" s="135"/>
      <c r="S79" s="138"/>
      <c r="T79" s="135"/>
      <c r="U79" s="151"/>
      <c r="V79" s="135"/>
      <c r="W79" s="69"/>
      <c r="X79" s="135"/>
      <c r="Y79" s="151"/>
      <c r="Z79" s="151"/>
      <c r="AA79" s="69"/>
      <c r="AB79" s="151"/>
      <c r="AC79" s="151"/>
      <c r="AD79" s="151"/>
      <c r="AE79" s="69"/>
      <c r="AF79" s="151"/>
      <c r="AG79" s="151"/>
      <c r="AH79" s="69"/>
      <c r="AI79" s="151"/>
      <c r="AJ79" s="151"/>
      <c r="AK79" s="69"/>
      <c r="AL79" s="151"/>
      <c r="AM79" s="151"/>
      <c r="AN79" s="69"/>
      <c r="AO79" s="69"/>
      <c r="AP79" s="69"/>
      <c r="AQ79" s="69"/>
      <c r="AR79" s="69"/>
      <c r="AS79" s="69"/>
      <c r="AT79" s="69"/>
      <c r="AU79" s="69"/>
    </row>
    <row r="80" spans="1:48" x14ac:dyDescent="0.2">
      <c r="A80" s="21"/>
      <c r="B80" s="21"/>
      <c r="C80" s="21"/>
      <c r="D80" s="21"/>
      <c r="E80" s="21"/>
      <c r="F80" s="21"/>
      <c r="G80" s="21"/>
      <c r="H80" s="21"/>
      <c r="I80" s="134"/>
      <c r="J80" s="135"/>
      <c r="K80" s="134"/>
      <c r="L80" s="135"/>
      <c r="M80" s="135"/>
      <c r="N80" s="135"/>
      <c r="O80" s="135"/>
      <c r="Q80" s="135"/>
      <c r="R80" s="135"/>
      <c r="S80" s="138"/>
      <c r="T80" s="135"/>
      <c r="U80" s="151"/>
      <c r="V80" s="135"/>
      <c r="W80" s="69"/>
      <c r="X80" s="135"/>
      <c r="Y80" s="151"/>
      <c r="Z80" s="151"/>
      <c r="AA80" s="69"/>
      <c r="AB80" s="151"/>
      <c r="AC80" s="151"/>
      <c r="AD80" s="151"/>
      <c r="AE80" s="69"/>
      <c r="AF80" s="151"/>
      <c r="AG80" s="151"/>
      <c r="AH80" s="69"/>
      <c r="AI80" s="151"/>
      <c r="AJ80" s="151"/>
      <c r="AK80" s="69"/>
      <c r="AL80" s="151"/>
      <c r="AM80" s="151"/>
      <c r="AN80" s="69"/>
      <c r="AO80" s="69"/>
      <c r="AP80" s="69"/>
      <c r="AQ80" s="69"/>
      <c r="AR80" s="69"/>
      <c r="AS80" s="69"/>
      <c r="AT80" s="69"/>
      <c r="AU80" s="69"/>
    </row>
    <row r="81" spans="1:48" ht="12" x14ac:dyDescent="0.2">
      <c r="A81" s="21"/>
      <c r="B81" s="21"/>
      <c r="C81" s="21"/>
      <c r="D81" s="21"/>
      <c r="E81" s="21"/>
      <c r="F81" s="21"/>
      <c r="G81" s="21"/>
      <c r="H81" s="21"/>
      <c r="I81" s="134"/>
      <c r="J81" s="135"/>
      <c r="K81" s="134"/>
      <c r="L81" s="135"/>
      <c r="M81" s="135"/>
      <c r="N81" s="135"/>
      <c r="O81" s="135"/>
      <c r="Q81" s="135"/>
      <c r="R81" s="135"/>
      <c r="S81" s="138"/>
      <c r="T81" s="135"/>
      <c r="U81" s="151"/>
      <c r="V81" s="135"/>
      <c r="W81" s="69"/>
      <c r="X81" s="135"/>
      <c r="Y81" s="151"/>
      <c r="Z81" s="151"/>
      <c r="AA81" s="69"/>
      <c r="AB81" s="151"/>
      <c r="AC81" s="151"/>
      <c r="AD81" s="151"/>
      <c r="AE81" s="69"/>
      <c r="AF81" s="151"/>
      <c r="AG81" s="151"/>
      <c r="AH81" s="69"/>
      <c r="AI81" s="151"/>
      <c r="AJ81" s="151"/>
      <c r="AK81" s="69"/>
      <c r="AL81" s="151"/>
      <c r="AM81" s="151"/>
      <c r="AN81" s="69"/>
      <c r="AO81" s="69"/>
      <c r="AP81" s="69"/>
      <c r="AQ81" s="69"/>
      <c r="AR81" s="69"/>
      <c r="AS81" s="69"/>
      <c r="AT81" s="69"/>
      <c r="AU81" s="69"/>
      <c r="AV81" s="21"/>
    </row>
    <row r="82" spans="1:48" ht="12" x14ac:dyDescent="0.2">
      <c r="A82" s="21"/>
      <c r="B82" s="21"/>
      <c r="C82" s="21"/>
      <c r="D82" s="21"/>
      <c r="E82" s="21"/>
      <c r="F82" s="21"/>
      <c r="G82" s="21"/>
      <c r="H82" s="21"/>
      <c r="I82" s="134"/>
      <c r="J82" s="135"/>
      <c r="K82" s="134"/>
      <c r="L82" s="135"/>
      <c r="M82" s="135"/>
      <c r="N82" s="135"/>
      <c r="O82" s="135"/>
      <c r="Q82" s="135"/>
      <c r="R82" s="135"/>
      <c r="S82" s="138"/>
      <c r="T82" s="135"/>
      <c r="U82" s="151"/>
      <c r="V82" s="135"/>
      <c r="W82" s="69"/>
      <c r="X82" s="135"/>
      <c r="Y82" s="151"/>
      <c r="Z82" s="151"/>
      <c r="AA82" s="69"/>
      <c r="AB82" s="151"/>
      <c r="AC82" s="151"/>
      <c r="AD82" s="151"/>
      <c r="AE82" s="69"/>
      <c r="AF82" s="151"/>
      <c r="AG82" s="151"/>
      <c r="AH82" s="69"/>
      <c r="AI82" s="151"/>
      <c r="AJ82" s="151"/>
      <c r="AK82" s="69"/>
      <c r="AL82" s="151"/>
      <c r="AM82" s="151"/>
      <c r="AN82" s="69"/>
      <c r="AO82" s="69"/>
      <c r="AP82" s="69"/>
      <c r="AQ82" s="69"/>
      <c r="AR82" s="69"/>
      <c r="AS82" s="69"/>
      <c r="AT82" s="69"/>
      <c r="AU82" s="69"/>
      <c r="AV82" s="21"/>
    </row>
    <row r="83" spans="1:48" ht="12" x14ac:dyDescent="0.2">
      <c r="A83" s="21"/>
      <c r="B83" s="21"/>
      <c r="C83" s="21"/>
      <c r="D83" s="21"/>
      <c r="E83" s="21"/>
      <c r="F83" s="21"/>
      <c r="G83" s="21"/>
      <c r="H83" s="21"/>
      <c r="I83" s="134"/>
      <c r="J83" s="135"/>
      <c r="K83" s="134"/>
      <c r="L83" s="135"/>
      <c r="M83" s="135"/>
      <c r="N83" s="135"/>
      <c r="O83" s="135"/>
      <c r="Q83" s="135"/>
      <c r="R83" s="135"/>
      <c r="S83" s="138"/>
      <c r="T83" s="135"/>
      <c r="U83" s="151"/>
      <c r="V83" s="135"/>
      <c r="W83" s="69"/>
      <c r="X83" s="135"/>
      <c r="Y83" s="151"/>
      <c r="Z83" s="151"/>
      <c r="AA83" s="69"/>
      <c r="AB83" s="151"/>
      <c r="AC83" s="151"/>
      <c r="AD83" s="151"/>
      <c r="AE83" s="69"/>
      <c r="AF83" s="151"/>
      <c r="AG83" s="151"/>
      <c r="AH83" s="69"/>
      <c r="AI83" s="151"/>
      <c r="AJ83" s="151"/>
      <c r="AK83" s="69"/>
      <c r="AL83" s="151"/>
      <c r="AM83" s="151"/>
      <c r="AN83" s="69"/>
      <c r="AO83" s="69"/>
      <c r="AP83" s="69"/>
      <c r="AQ83" s="69"/>
      <c r="AR83" s="69"/>
      <c r="AS83" s="69"/>
      <c r="AT83" s="69"/>
      <c r="AU83" s="69"/>
      <c r="AV83" s="21"/>
    </row>
    <row r="84" spans="1:48" ht="12" x14ac:dyDescent="0.2">
      <c r="A84" s="21"/>
      <c r="B84" s="21"/>
      <c r="C84" s="21"/>
      <c r="D84" s="21"/>
      <c r="E84" s="21"/>
      <c r="F84" s="21"/>
      <c r="G84" s="21"/>
      <c r="H84" s="21"/>
      <c r="I84" s="134"/>
      <c r="J84" s="135"/>
      <c r="K84" s="134"/>
      <c r="L84" s="135"/>
      <c r="M84" s="135"/>
      <c r="N84" s="135"/>
      <c r="O84" s="135"/>
      <c r="Q84" s="135"/>
      <c r="R84" s="135"/>
      <c r="S84" s="138"/>
      <c r="T84" s="135"/>
      <c r="U84" s="151"/>
      <c r="V84" s="135"/>
      <c r="W84" s="69"/>
      <c r="X84" s="135"/>
      <c r="Y84" s="151"/>
      <c r="Z84" s="151"/>
      <c r="AA84" s="69"/>
      <c r="AB84" s="151"/>
      <c r="AC84" s="151"/>
      <c r="AD84" s="151"/>
      <c r="AE84" s="69"/>
      <c r="AF84" s="151"/>
      <c r="AG84" s="151"/>
      <c r="AH84" s="69"/>
      <c r="AI84" s="151"/>
      <c r="AJ84" s="151"/>
      <c r="AK84" s="69"/>
      <c r="AL84" s="151"/>
      <c r="AM84" s="151"/>
      <c r="AN84" s="69"/>
      <c r="AO84" s="69"/>
      <c r="AP84" s="69"/>
      <c r="AQ84" s="69"/>
      <c r="AR84" s="69"/>
      <c r="AS84" s="69"/>
      <c r="AT84" s="69"/>
      <c r="AU84" s="69"/>
      <c r="AV84" s="21"/>
    </row>
    <row r="85" spans="1:48" ht="12" x14ac:dyDescent="0.2">
      <c r="A85" s="21"/>
      <c r="B85" s="21"/>
      <c r="C85" s="21"/>
      <c r="D85" s="21"/>
      <c r="E85" s="21"/>
      <c r="F85" s="21"/>
      <c r="G85" s="21"/>
      <c r="H85" s="21"/>
      <c r="I85" s="134"/>
      <c r="J85" s="135"/>
      <c r="K85" s="134"/>
      <c r="L85" s="135"/>
      <c r="M85" s="135"/>
      <c r="N85" s="135"/>
      <c r="O85" s="135"/>
      <c r="Q85" s="135"/>
      <c r="R85" s="135"/>
      <c r="S85" s="138"/>
      <c r="T85" s="135"/>
      <c r="U85" s="151"/>
      <c r="V85" s="135"/>
      <c r="W85" s="69"/>
      <c r="X85" s="135"/>
      <c r="Y85" s="151"/>
      <c r="Z85" s="151"/>
      <c r="AA85" s="69"/>
      <c r="AB85" s="151"/>
      <c r="AC85" s="151"/>
      <c r="AD85" s="151"/>
      <c r="AE85" s="69"/>
      <c r="AF85" s="151"/>
      <c r="AG85" s="151"/>
      <c r="AH85" s="69"/>
      <c r="AI85" s="151"/>
      <c r="AJ85" s="151"/>
      <c r="AK85" s="69"/>
      <c r="AL85" s="151"/>
      <c r="AM85" s="151"/>
      <c r="AN85" s="69"/>
      <c r="AO85" s="69"/>
      <c r="AP85" s="69"/>
      <c r="AQ85" s="69"/>
      <c r="AR85" s="69"/>
      <c r="AS85" s="69"/>
      <c r="AT85" s="69"/>
      <c r="AU85" s="69"/>
      <c r="AV85" s="21"/>
    </row>
    <row r="86" spans="1:48" ht="12" x14ac:dyDescent="0.2">
      <c r="A86" s="21"/>
      <c r="B86" s="21"/>
      <c r="C86" s="21"/>
      <c r="D86" s="21"/>
      <c r="E86" s="21"/>
      <c r="F86" s="21"/>
      <c r="G86" s="21"/>
      <c r="H86" s="21"/>
      <c r="I86" s="134"/>
      <c r="J86" s="135"/>
      <c r="K86" s="134"/>
      <c r="L86" s="135"/>
      <c r="M86" s="135"/>
      <c r="N86" s="135"/>
      <c r="O86" s="135"/>
      <c r="Q86" s="135"/>
      <c r="R86" s="135"/>
      <c r="S86" s="138"/>
      <c r="T86" s="135"/>
      <c r="U86" s="151"/>
      <c r="V86" s="135"/>
      <c r="W86" s="69"/>
      <c r="X86" s="135"/>
      <c r="Y86" s="151"/>
      <c r="Z86" s="151"/>
      <c r="AA86" s="69"/>
      <c r="AB86" s="151"/>
      <c r="AC86" s="151"/>
      <c r="AD86" s="151"/>
      <c r="AE86" s="69"/>
      <c r="AF86" s="151"/>
      <c r="AG86" s="151"/>
      <c r="AH86" s="69"/>
      <c r="AI86" s="151"/>
      <c r="AJ86" s="151"/>
      <c r="AK86" s="69"/>
      <c r="AL86" s="151"/>
      <c r="AM86" s="151"/>
      <c r="AN86" s="69"/>
      <c r="AO86" s="69"/>
      <c r="AP86" s="69"/>
      <c r="AQ86" s="69"/>
      <c r="AR86" s="69"/>
      <c r="AS86" s="69"/>
      <c r="AT86" s="69"/>
      <c r="AU86" s="69"/>
      <c r="AV86" s="21"/>
    </row>
    <row r="87" spans="1:48" ht="12" x14ac:dyDescent="0.2">
      <c r="A87" s="21"/>
      <c r="B87" s="21"/>
      <c r="C87" s="21"/>
      <c r="D87" s="21"/>
      <c r="E87" s="21"/>
      <c r="F87" s="21"/>
      <c r="G87" s="21"/>
      <c r="H87" s="21"/>
      <c r="I87" s="134"/>
      <c r="J87" s="135"/>
      <c r="K87" s="134"/>
      <c r="L87" s="135"/>
      <c r="M87" s="135"/>
      <c r="N87" s="135"/>
      <c r="O87" s="135"/>
      <c r="Q87" s="135"/>
      <c r="R87" s="135"/>
      <c r="S87" s="138"/>
      <c r="T87" s="135"/>
      <c r="U87" s="151"/>
      <c r="V87" s="135"/>
      <c r="W87" s="69"/>
      <c r="X87" s="135"/>
      <c r="Y87" s="151"/>
      <c r="Z87" s="151"/>
      <c r="AA87" s="69"/>
      <c r="AB87" s="151"/>
      <c r="AC87" s="151"/>
      <c r="AD87" s="151"/>
      <c r="AE87" s="69"/>
      <c r="AF87" s="151"/>
      <c r="AG87" s="151"/>
      <c r="AH87" s="69"/>
      <c r="AI87" s="151"/>
      <c r="AJ87" s="151"/>
      <c r="AK87" s="69"/>
      <c r="AL87" s="151"/>
      <c r="AM87" s="151"/>
      <c r="AN87" s="69"/>
      <c r="AO87" s="69"/>
      <c r="AP87" s="69"/>
      <c r="AQ87" s="69"/>
      <c r="AR87" s="69"/>
      <c r="AS87" s="69"/>
      <c r="AT87" s="69"/>
      <c r="AU87" s="69"/>
      <c r="AV87" s="21"/>
    </row>
    <row r="88" spans="1:48" ht="12" x14ac:dyDescent="0.2">
      <c r="A88" s="21"/>
      <c r="B88" s="21"/>
      <c r="C88" s="21"/>
      <c r="D88" s="21"/>
      <c r="E88" s="21"/>
      <c r="F88" s="21"/>
      <c r="G88" s="21"/>
      <c r="H88" s="21"/>
      <c r="I88" s="134"/>
      <c r="J88" s="135"/>
      <c r="K88" s="134"/>
      <c r="L88" s="135"/>
      <c r="M88" s="135"/>
      <c r="N88" s="135"/>
      <c r="O88" s="135"/>
      <c r="Q88" s="135"/>
      <c r="R88" s="135"/>
      <c r="S88" s="138"/>
      <c r="T88" s="135"/>
      <c r="U88" s="151"/>
      <c r="V88" s="135"/>
      <c r="W88" s="69"/>
      <c r="X88" s="135"/>
      <c r="Y88" s="151"/>
      <c r="Z88" s="151"/>
      <c r="AA88" s="69"/>
      <c r="AB88" s="151"/>
      <c r="AC88" s="151"/>
      <c r="AD88" s="151"/>
      <c r="AE88" s="69"/>
      <c r="AF88" s="151"/>
      <c r="AG88" s="151"/>
      <c r="AH88" s="69"/>
      <c r="AI88" s="151"/>
      <c r="AJ88" s="151"/>
      <c r="AK88" s="69"/>
      <c r="AL88" s="151"/>
      <c r="AM88" s="151"/>
      <c r="AN88" s="69"/>
      <c r="AO88" s="69"/>
      <c r="AP88" s="69"/>
      <c r="AQ88" s="69"/>
      <c r="AR88" s="69"/>
      <c r="AS88" s="69"/>
      <c r="AT88" s="69"/>
      <c r="AU88" s="69"/>
      <c r="AV88" s="21"/>
    </row>
    <row r="89" spans="1:48" ht="12" x14ac:dyDescent="0.2">
      <c r="A89" s="21"/>
      <c r="B89" s="21"/>
      <c r="C89" s="21"/>
      <c r="D89" s="21"/>
      <c r="E89" s="21"/>
      <c r="F89" s="21"/>
      <c r="G89" s="21"/>
      <c r="H89" s="21"/>
      <c r="I89" s="134"/>
      <c r="J89" s="135"/>
      <c r="K89" s="134"/>
      <c r="L89" s="135"/>
      <c r="M89" s="135"/>
      <c r="N89" s="135"/>
      <c r="O89" s="135"/>
      <c r="Q89" s="135"/>
      <c r="R89" s="135"/>
      <c r="S89" s="138"/>
      <c r="T89" s="135"/>
      <c r="U89" s="151"/>
      <c r="V89" s="135"/>
      <c r="W89" s="69"/>
      <c r="X89" s="135"/>
      <c r="Y89" s="151"/>
      <c r="Z89" s="151"/>
      <c r="AA89" s="69"/>
      <c r="AB89" s="151"/>
      <c r="AC89" s="151"/>
      <c r="AD89" s="151"/>
      <c r="AE89" s="69"/>
      <c r="AF89" s="151"/>
      <c r="AG89" s="151"/>
      <c r="AH89" s="69"/>
      <c r="AI89" s="151"/>
      <c r="AJ89" s="151"/>
      <c r="AK89" s="69"/>
      <c r="AL89" s="151"/>
      <c r="AM89" s="151"/>
      <c r="AN89" s="69"/>
      <c r="AO89" s="69"/>
      <c r="AP89" s="69"/>
      <c r="AQ89" s="69"/>
      <c r="AR89" s="69"/>
      <c r="AS89" s="69"/>
      <c r="AT89" s="69"/>
      <c r="AU89" s="69"/>
      <c r="AV89" s="21"/>
    </row>
    <row r="90" spans="1:48" ht="12" x14ac:dyDescent="0.2">
      <c r="A90" s="21"/>
      <c r="B90" s="21"/>
      <c r="C90" s="21"/>
      <c r="D90" s="21"/>
      <c r="E90" s="21"/>
      <c r="F90" s="21"/>
      <c r="G90" s="21"/>
      <c r="H90" s="21"/>
      <c r="I90" s="134"/>
      <c r="J90" s="135"/>
      <c r="K90" s="134"/>
      <c r="L90" s="135"/>
      <c r="M90" s="135"/>
      <c r="N90" s="135"/>
      <c r="O90" s="135"/>
      <c r="Q90" s="135"/>
      <c r="R90" s="135"/>
      <c r="S90" s="138"/>
      <c r="T90" s="135"/>
      <c r="U90" s="151"/>
      <c r="V90" s="135"/>
      <c r="W90" s="69"/>
      <c r="X90" s="135"/>
      <c r="Y90" s="151"/>
      <c r="Z90" s="151"/>
      <c r="AA90" s="69"/>
      <c r="AB90" s="151"/>
      <c r="AC90" s="151"/>
      <c r="AD90" s="151"/>
      <c r="AE90" s="69"/>
      <c r="AF90" s="151"/>
      <c r="AG90" s="151"/>
      <c r="AH90" s="69"/>
      <c r="AI90" s="151"/>
      <c r="AJ90" s="151"/>
      <c r="AK90" s="69"/>
      <c r="AL90" s="151"/>
      <c r="AM90" s="151"/>
      <c r="AN90" s="69"/>
      <c r="AO90" s="69"/>
      <c r="AP90" s="69"/>
      <c r="AQ90" s="69"/>
      <c r="AR90" s="69"/>
      <c r="AS90" s="69"/>
      <c r="AT90" s="69"/>
      <c r="AU90" s="69"/>
      <c r="AV90" s="21"/>
    </row>
    <row r="91" spans="1:48" ht="12" x14ac:dyDescent="0.2">
      <c r="A91" s="21"/>
      <c r="B91" s="21"/>
      <c r="C91" s="21"/>
      <c r="D91" s="21"/>
      <c r="E91" s="21"/>
      <c r="F91" s="21"/>
      <c r="G91" s="21"/>
      <c r="H91" s="21"/>
      <c r="I91" s="134"/>
      <c r="J91" s="135"/>
      <c r="K91" s="134"/>
      <c r="L91" s="135"/>
      <c r="M91" s="135"/>
      <c r="N91" s="135"/>
      <c r="O91" s="135"/>
      <c r="Q91" s="135"/>
      <c r="R91" s="135"/>
      <c r="S91" s="138"/>
      <c r="T91" s="135"/>
      <c r="U91" s="151"/>
      <c r="V91" s="135"/>
      <c r="W91" s="69"/>
      <c r="X91" s="135"/>
      <c r="Y91" s="151"/>
      <c r="Z91" s="151"/>
      <c r="AA91" s="69"/>
      <c r="AB91" s="151"/>
      <c r="AC91" s="151"/>
      <c r="AD91" s="151"/>
      <c r="AE91" s="69"/>
      <c r="AF91" s="151"/>
      <c r="AG91" s="151"/>
      <c r="AH91" s="69"/>
      <c r="AI91" s="151"/>
      <c r="AJ91" s="151"/>
      <c r="AK91" s="69"/>
      <c r="AL91" s="151"/>
      <c r="AM91" s="151"/>
      <c r="AN91" s="69"/>
      <c r="AO91" s="69"/>
      <c r="AP91" s="69"/>
      <c r="AQ91" s="69"/>
      <c r="AR91" s="69"/>
      <c r="AS91" s="69"/>
      <c r="AT91" s="69"/>
      <c r="AU91" s="69"/>
      <c r="AV91" s="21"/>
    </row>
    <row r="92" spans="1:48" ht="12" x14ac:dyDescent="0.2">
      <c r="A92" s="21"/>
      <c r="B92" s="21"/>
      <c r="C92" s="21"/>
      <c r="D92" s="21"/>
      <c r="E92" s="21"/>
      <c r="F92" s="21"/>
      <c r="G92" s="21"/>
      <c r="H92" s="21"/>
      <c r="I92" s="134"/>
      <c r="J92" s="135"/>
      <c r="K92" s="134"/>
      <c r="L92" s="135"/>
      <c r="M92" s="135"/>
      <c r="N92" s="135"/>
      <c r="O92" s="135"/>
      <c r="Q92" s="135"/>
      <c r="R92" s="135"/>
      <c r="S92" s="138"/>
      <c r="T92" s="135"/>
      <c r="U92" s="151"/>
      <c r="V92" s="135"/>
      <c r="W92" s="69"/>
      <c r="X92" s="135"/>
      <c r="Y92" s="151"/>
      <c r="Z92" s="151"/>
      <c r="AA92" s="69"/>
      <c r="AB92" s="151"/>
      <c r="AC92" s="151"/>
      <c r="AD92" s="151"/>
      <c r="AE92" s="69"/>
      <c r="AF92" s="151"/>
      <c r="AG92" s="151"/>
      <c r="AH92" s="69"/>
      <c r="AI92" s="151"/>
      <c r="AJ92" s="151"/>
      <c r="AK92" s="69"/>
      <c r="AL92" s="151"/>
      <c r="AM92" s="151"/>
      <c r="AN92" s="69"/>
      <c r="AO92" s="69"/>
      <c r="AP92" s="69"/>
      <c r="AQ92" s="69"/>
      <c r="AR92" s="69"/>
      <c r="AS92" s="69"/>
      <c r="AT92" s="69"/>
      <c r="AU92" s="69"/>
      <c r="AV92" s="21"/>
    </row>
    <row r="93" spans="1:48" ht="12" x14ac:dyDescent="0.2">
      <c r="A93" s="21"/>
      <c r="B93" s="21"/>
      <c r="C93" s="21"/>
      <c r="D93" s="21"/>
      <c r="E93" s="21"/>
      <c r="F93" s="21"/>
      <c r="G93" s="21"/>
      <c r="H93" s="21"/>
      <c r="I93" s="134"/>
      <c r="J93" s="135"/>
      <c r="K93" s="134"/>
      <c r="L93" s="135"/>
      <c r="M93" s="135"/>
      <c r="N93" s="135"/>
      <c r="O93" s="135"/>
      <c r="Q93" s="135"/>
      <c r="R93" s="135"/>
      <c r="S93" s="138"/>
      <c r="T93" s="135"/>
      <c r="U93" s="151"/>
      <c r="V93" s="135"/>
      <c r="W93" s="69"/>
      <c r="X93" s="135"/>
      <c r="Y93" s="151"/>
      <c r="Z93" s="151"/>
      <c r="AA93" s="69"/>
      <c r="AB93" s="151"/>
      <c r="AC93" s="151"/>
      <c r="AD93" s="151"/>
      <c r="AE93" s="69"/>
      <c r="AF93" s="151"/>
      <c r="AG93" s="151"/>
      <c r="AH93" s="69"/>
      <c r="AI93" s="151"/>
      <c r="AJ93" s="151"/>
      <c r="AK93" s="69"/>
      <c r="AL93" s="151"/>
      <c r="AM93" s="151"/>
      <c r="AN93" s="69"/>
      <c r="AO93" s="69"/>
      <c r="AP93" s="69"/>
      <c r="AQ93" s="69"/>
      <c r="AR93" s="69"/>
      <c r="AS93" s="69"/>
      <c r="AT93" s="69"/>
      <c r="AU93" s="69"/>
      <c r="AV93" s="21"/>
    </row>
    <row r="94" spans="1:48" ht="12" x14ac:dyDescent="0.2">
      <c r="A94" s="21"/>
      <c r="B94" s="21"/>
      <c r="C94" s="21"/>
      <c r="D94" s="21"/>
      <c r="E94" s="21"/>
      <c r="F94" s="21"/>
      <c r="G94" s="21"/>
      <c r="H94" s="21"/>
      <c r="I94" s="134"/>
      <c r="J94" s="135"/>
      <c r="K94" s="134"/>
      <c r="L94" s="135"/>
      <c r="M94" s="135"/>
      <c r="N94" s="135"/>
      <c r="O94" s="135"/>
      <c r="Q94" s="135"/>
      <c r="R94" s="135"/>
      <c r="S94" s="138"/>
      <c r="T94" s="135"/>
      <c r="U94" s="151"/>
      <c r="V94" s="135"/>
      <c r="W94" s="69"/>
      <c r="X94" s="135"/>
      <c r="Y94" s="151"/>
      <c r="Z94" s="151"/>
      <c r="AA94" s="69"/>
      <c r="AB94" s="151"/>
      <c r="AC94" s="151"/>
      <c r="AD94" s="151"/>
      <c r="AE94" s="69"/>
      <c r="AF94" s="151"/>
      <c r="AG94" s="151"/>
      <c r="AH94" s="69"/>
      <c r="AI94" s="151"/>
      <c r="AJ94" s="151"/>
      <c r="AK94" s="69"/>
      <c r="AL94" s="151"/>
      <c r="AM94" s="151"/>
      <c r="AN94" s="69"/>
      <c r="AO94" s="69"/>
      <c r="AP94" s="69"/>
      <c r="AQ94" s="69"/>
      <c r="AR94" s="69"/>
      <c r="AS94" s="69"/>
      <c r="AT94" s="69"/>
      <c r="AU94" s="69"/>
      <c r="AV94" s="21"/>
    </row>
    <row r="95" spans="1:48" ht="12" x14ac:dyDescent="0.2">
      <c r="A95" s="21"/>
      <c r="B95" s="21"/>
      <c r="C95" s="21"/>
      <c r="D95" s="21"/>
      <c r="E95" s="21"/>
      <c r="F95" s="21"/>
      <c r="G95" s="21"/>
      <c r="H95" s="21"/>
      <c r="I95" s="134"/>
      <c r="J95" s="135"/>
      <c r="K95" s="134"/>
      <c r="L95" s="135"/>
      <c r="M95" s="135"/>
      <c r="N95" s="135"/>
      <c r="O95" s="135"/>
      <c r="Q95" s="135"/>
      <c r="R95" s="135"/>
      <c r="S95" s="138"/>
      <c r="T95" s="135"/>
      <c r="U95" s="151"/>
      <c r="V95" s="135"/>
      <c r="W95" s="69"/>
      <c r="X95" s="135"/>
      <c r="Y95" s="151"/>
      <c r="Z95" s="151"/>
      <c r="AA95" s="69"/>
      <c r="AB95" s="151"/>
      <c r="AC95" s="151"/>
      <c r="AD95" s="151"/>
      <c r="AE95" s="69"/>
      <c r="AF95" s="151"/>
      <c r="AG95" s="151"/>
      <c r="AH95" s="69"/>
      <c r="AI95" s="151"/>
      <c r="AJ95" s="151"/>
      <c r="AK95" s="69"/>
      <c r="AL95" s="151"/>
      <c r="AM95" s="151"/>
      <c r="AN95" s="69"/>
      <c r="AO95" s="69"/>
      <c r="AP95" s="69"/>
      <c r="AQ95" s="69"/>
      <c r="AR95" s="69"/>
      <c r="AS95" s="69"/>
      <c r="AT95" s="69"/>
      <c r="AU95" s="69"/>
      <c r="AV95" s="21"/>
    </row>
    <row r="96" spans="1:48" ht="12" x14ac:dyDescent="0.2">
      <c r="A96" s="21"/>
      <c r="B96" s="21"/>
      <c r="C96" s="21"/>
      <c r="D96" s="21"/>
      <c r="E96" s="21"/>
      <c r="F96" s="21"/>
      <c r="G96" s="21"/>
      <c r="H96" s="21"/>
      <c r="I96" s="134"/>
      <c r="J96" s="135"/>
      <c r="K96" s="134"/>
      <c r="L96" s="135"/>
      <c r="M96" s="135"/>
      <c r="N96" s="135"/>
      <c r="O96" s="135"/>
      <c r="Q96" s="135"/>
      <c r="R96" s="135"/>
      <c r="S96" s="138"/>
      <c r="T96" s="135"/>
      <c r="U96" s="151"/>
      <c r="V96" s="135"/>
      <c r="W96" s="69"/>
      <c r="X96" s="135"/>
      <c r="Y96" s="151"/>
      <c r="Z96" s="151"/>
      <c r="AA96" s="69"/>
      <c r="AB96" s="151"/>
      <c r="AC96" s="151"/>
      <c r="AD96" s="151"/>
      <c r="AE96" s="69"/>
      <c r="AF96" s="151"/>
      <c r="AG96" s="151"/>
      <c r="AH96" s="69"/>
      <c r="AI96" s="151"/>
      <c r="AJ96" s="151"/>
      <c r="AK96" s="69"/>
      <c r="AL96" s="151"/>
      <c r="AM96" s="151"/>
      <c r="AN96" s="69"/>
      <c r="AO96" s="69"/>
      <c r="AP96" s="69"/>
      <c r="AQ96" s="69"/>
      <c r="AR96" s="69"/>
      <c r="AS96" s="69"/>
      <c r="AT96" s="69"/>
      <c r="AU96" s="69"/>
      <c r="AV96" s="21"/>
    </row>
    <row r="97" spans="1:48" ht="12" x14ac:dyDescent="0.2">
      <c r="A97" s="21"/>
      <c r="B97" s="21"/>
      <c r="C97" s="21"/>
      <c r="D97" s="21"/>
      <c r="E97" s="21"/>
      <c r="F97" s="21"/>
      <c r="G97" s="21"/>
      <c r="H97" s="21"/>
      <c r="I97" s="134"/>
      <c r="J97" s="135"/>
      <c r="K97" s="134"/>
      <c r="L97" s="135"/>
      <c r="M97" s="135"/>
      <c r="N97" s="135"/>
      <c r="O97" s="135"/>
      <c r="Q97" s="135"/>
      <c r="R97" s="135"/>
      <c r="S97" s="138"/>
      <c r="T97" s="135"/>
      <c r="U97" s="151"/>
      <c r="V97" s="135"/>
      <c r="W97" s="69"/>
      <c r="X97" s="135"/>
      <c r="Y97" s="151"/>
      <c r="Z97" s="151"/>
      <c r="AA97" s="69"/>
      <c r="AB97" s="151"/>
      <c r="AC97" s="151"/>
      <c r="AD97" s="151"/>
      <c r="AE97" s="69"/>
      <c r="AF97" s="151"/>
      <c r="AG97" s="151"/>
      <c r="AH97" s="69"/>
      <c r="AI97" s="151"/>
      <c r="AJ97" s="151"/>
      <c r="AK97" s="69"/>
      <c r="AL97" s="151"/>
      <c r="AM97" s="151"/>
      <c r="AN97" s="69"/>
      <c r="AO97" s="69"/>
      <c r="AP97" s="69"/>
      <c r="AQ97" s="69"/>
      <c r="AR97" s="69"/>
      <c r="AS97" s="69"/>
      <c r="AT97" s="69"/>
      <c r="AU97" s="69"/>
      <c r="AV97" s="21"/>
    </row>
    <row r="98" spans="1:48" ht="12" x14ac:dyDescent="0.2">
      <c r="A98" s="21"/>
      <c r="B98" s="21"/>
      <c r="C98" s="21"/>
      <c r="D98" s="21"/>
      <c r="E98" s="21"/>
      <c r="F98" s="21"/>
      <c r="G98" s="21"/>
      <c r="H98" s="21"/>
      <c r="I98" s="134"/>
      <c r="J98" s="135"/>
      <c r="K98" s="134"/>
      <c r="L98" s="135"/>
      <c r="M98" s="135"/>
      <c r="N98" s="135"/>
      <c r="O98" s="135"/>
      <c r="Q98" s="135"/>
      <c r="R98" s="135"/>
      <c r="S98" s="138"/>
      <c r="T98" s="135"/>
      <c r="U98" s="151"/>
      <c r="V98" s="135"/>
      <c r="W98" s="69"/>
      <c r="X98" s="135"/>
      <c r="Y98" s="151"/>
      <c r="Z98" s="151"/>
      <c r="AA98" s="69"/>
      <c r="AB98" s="151"/>
      <c r="AC98" s="151"/>
      <c r="AD98" s="151"/>
      <c r="AE98" s="69"/>
      <c r="AF98" s="151"/>
      <c r="AG98" s="151"/>
      <c r="AH98" s="69"/>
      <c r="AI98" s="151"/>
      <c r="AJ98" s="151"/>
      <c r="AK98" s="69"/>
      <c r="AL98" s="151"/>
      <c r="AM98" s="151"/>
      <c r="AN98" s="69"/>
      <c r="AO98" s="69"/>
      <c r="AP98" s="69"/>
      <c r="AQ98" s="69"/>
      <c r="AR98" s="69"/>
      <c r="AS98" s="69"/>
      <c r="AT98" s="69"/>
      <c r="AU98" s="69"/>
      <c r="AV98" s="21"/>
    </row>
    <row r="99" spans="1:48" ht="12" x14ac:dyDescent="0.2">
      <c r="A99" s="21"/>
      <c r="B99" s="21"/>
      <c r="C99" s="21"/>
      <c r="D99" s="21"/>
      <c r="E99" s="21"/>
      <c r="F99" s="21"/>
      <c r="G99" s="21"/>
      <c r="H99" s="21"/>
      <c r="I99" s="134"/>
      <c r="J99" s="135"/>
      <c r="K99" s="134"/>
      <c r="L99" s="135"/>
      <c r="M99" s="135"/>
      <c r="N99" s="135"/>
      <c r="O99" s="135"/>
      <c r="Q99" s="135"/>
      <c r="R99" s="135"/>
      <c r="S99" s="138"/>
      <c r="T99" s="135"/>
      <c r="U99" s="151"/>
      <c r="V99" s="135"/>
      <c r="W99" s="69"/>
      <c r="X99" s="135"/>
      <c r="Y99" s="151"/>
      <c r="Z99" s="151"/>
      <c r="AA99" s="69"/>
      <c r="AB99" s="151"/>
      <c r="AC99" s="151"/>
      <c r="AD99" s="151"/>
      <c r="AE99" s="69"/>
      <c r="AF99" s="151"/>
      <c r="AG99" s="151"/>
      <c r="AH99" s="69"/>
      <c r="AI99" s="151"/>
      <c r="AJ99" s="151"/>
      <c r="AK99" s="69"/>
      <c r="AL99" s="151"/>
      <c r="AM99" s="151"/>
      <c r="AN99" s="69"/>
      <c r="AO99" s="69"/>
      <c r="AP99" s="69"/>
      <c r="AQ99" s="69"/>
      <c r="AR99" s="69"/>
      <c r="AS99" s="69"/>
      <c r="AT99" s="69"/>
      <c r="AU99" s="69"/>
      <c r="AV99" s="21"/>
    </row>
    <row r="100" spans="1:48" ht="12" x14ac:dyDescent="0.2">
      <c r="A100" s="21"/>
      <c r="B100" s="21"/>
      <c r="C100" s="21"/>
      <c r="D100" s="21"/>
      <c r="E100" s="21"/>
      <c r="F100" s="21"/>
      <c r="G100" s="21"/>
      <c r="H100" s="21"/>
      <c r="I100" s="134"/>
      <c r="J100" s="135"/>
      <c r="K100" s="134"/>
      <c r="L100" s="135"/>
      <c r="M100" s="135"/>
      <c r="N100" s="135"/>
      <c r="O100" s="135"/>
      <c r="Q100" s="135"/>
      <c r="R100" s="135"/>
      <c r="S100" s="138"/>
      <c r="T100" s="135"/>
      <c r="U100" s="151"/>
      <c r="V100" s="135"/>
      <c r="W100" s="69"/>
      <c r="X100" s="135"/>
      <c r="Y100" s="151"/>
      <c r="Z100" s="151"/>
      <c r="AA100" s="69"/>
      <c r="AB100" s="151"/>
      <c r="AC100" s="151"/>
      <c r="AD100" s="151"/>
      <c r="AE100" s="69"/>
      <c r="AF100" s="151"/>
      <c r="AG100" s="151"/>
      <c r="AH100" s="69"/>
      <c r="AI100" s="151"/>
      <c r="AJ100" s="151"/>
      <c r="AK100" s="69"/>
      <c r="AL100" s="151"/>
      <c r="AM100" s="151"/>
      <c r="AN100" s="69"/>
      <c r="AO100" s="69"/>
      <c r="AP100" s="69"/>
      <c r="AQ100" s="69"/>
      <c r="AR100" s="69"/>
      <c r="AS100" s="69"/>
      <c r="AT100" s="69"/>
      <c r="AU100" s="69"/>
      <c r="AV100" s="21"/>
    </row>
    <row r="101" spans="1:48" ht="12" x14ac:dyDescent="0.2">
      <c r="A101" s="21"/>
      <c r="B101" s="21"/>
      <c r="C101" s="21"/>
      <c r="D101" s="21"/>
      <c r="E101" s="21"/>
      <c r="F101" s="21"/>
      <c r="G101" s="21"/>
      <c r="H101" s="21"/>
      <c r="I101" s="134"/>
      <c r="J101" s="135"/>
      <c r="K101" s="134"/>
      <c r="L101" s="135"/>
      <c r="M101" s="135"/>
      <c r="N101" s="135"/>
      <c r="O101" s="135"/>
      <c r="Q101" s="135"/>
      <c r="R101" s="135"/>
      <c r="S101" s="138"/>
      <c r="T101" s="135"/>
      <c r="U101" s="151"/>
      <c r="V101" s="135"/>
      <c r="W101" s="69"/>
      <c r="X101" s="135"/>
      <c r="Y101" s="151"/>
      <c r="Z101" s="151"/>
      <c r="AA101" s="69"/>
      <c r="AB101" s="151"/>
      <c r="AC101" s="151"/>
      <c r="AD101" s="151"/>
      <c r="AE101" s="69"/>
      <c r="AF101" s="151"/>
      <c r="AG101" s="151"/>
      <c r="AH101" s="69"/>
      <c r="AI101" s="151"/>
      <c r="AJ101" s="151"/>
      <c r="AK101" s="69"/>
      <c r="AL101" s="151"/>
      <c r="AM101" s="151"/>
      <c r="AN101" s="69"/>
      <c r="AO101" s="69"/>
      <c r="AP101" s="69"/>
      <c r="AQ101" s="69"/>
      <c r="AR101" s="69"/>
      <c r="AS101" s="69"/>
      <c r="AT101" s="69"/>
      <c r="AU101" s="69"/>
      <c r="AV101" s="21"/>
    </row>
    <row r="102" spans="1:48" ht="12" x14ac:dyDescent="0.2">
      <c r="A102" s="21"/>
      <c r="B102" s="21"/>
      <c r="C102" s="21"/>
      <c r="D102" s="21"/>
      <c r="E102" s="21"/>
      <c r="F102" s="21"/>
      <c r="G102" s="21"/>
      <c r="H102" s="21"/>
      <c r="I102" s="134"/>
      <c r="J102" s="135"/>
      <c r="K102" s="134"/>
      <c r="L102" s="135"/>
      <c r="M102" s="135"/>
      <c r="N102" s="135"/>
      <c r="O102" s="135"/>
      <c r="Q102" s="135"/>
      <c r="R102" s="135"/>
      <c r="S102" s="138"/>
      <c r="T102" s="135"/>
      <c r="U102" s="151"/>
      <c r="V102" s="135"/>
      <c r="W102" s="69"/>
      <c r="X102" s="135"/>
      <c r="Y102" s="151"/>
      <c r="Z102" s="151"/>
      <c r="AA102" s="69"/>
      <c r="AB102" s="151"/>
      <c r="AC102" s="151"/>
      <c r="AD102" s="151"/>
      <c r="AE102" s="69"/>
      <c r="AF102" s="151"/>
      <c r="AG102" s="151"/>
      <c r="AH102" s="69"/>
      <c r="AI102" s="151"/>
      <c r="AJ102" s="151"/>
      <c r="AK102" s="69"/>
      <c r="AL102" s="151"/>
      <c r="AM102" s="151"/>
      <c r="AN102" s="69"/>
      <c r="AO102" s="69"/>
      <c r="AP102" s="69"/>
      <c r="AQ102" s="69"/>
      <c r="AR102" s="69"/>
      <c r="AS102" s="69"/>
      <c r="AT102" s="69"/>
      <c r="AU102" s="69"/>
      <c r="AV102" s="21"/>
    </row>
    <row r="103" spans="1:48" ht="12" x14ac:dyDescent="0.2">
      <c r="A103" s="21"/>
      <c r="B103" s="21"/>
      <c r="C103" s="21"/>
      <c r="D103" s="21"/>
      <c r="E103" s="21"/>
      <c r="F103" s="21"/>
      <c r="G103" s="21"/>
      <c r="H103" s="21"/>
      <c r="I103" s="134"/>
      <c r="J103" s="135"/>
      <c r="K103" s="134"/>
      <c r="L103" s="135"/>
      <c r="M103" s="135"/>
      <c r="N103" s="135"/>
      <c r="O103" s="135"/>
      <c r="Q103" s="135"/>
      <c r="R103" s="135"/>
      <c r="S103" s="138"/>
      <c r="T103" s="135"/>
      <c r="U103" s="151"/>
      <c r="V103" s="135"/>
      <c r="W103" s="69"/>
      <c r="X103" s="135"/>
      <c r="Y103" s="151"/>
      <c r="Z103" s="151"/>
      <c r="AA103" s="69"/>
      <c r="AB103" s="151"/>
      <c r="AC103" s="151"/>
      <c r="AD103" s="151"/>
      <c r="AE103" s="69"/>
      <c r="AF103" s="151"/>
      <c r="AG103" s="151"/>
      <c r="AH103" s="69"/>
      <c r="AI103" s="151"/>
      <c r="AJ103" s="151"/>
      <c r="AK103" s="69"/>
      <c r="AL103" s="151"/>
      <c r="AM103" s="151"/>
      <c r="AN103" s="69"/>
      <c r="AO103" s="69"/>
      <c r="AP103" s="69"/>
      <c r="AQ103" s="69"/>
      <c r="AR103" s="69"/>
      <c r="AS103" s="69"/>
      <c r="AT103" s="69"/>
      <c r="AU103" s="69"/>
      <c r="AV103" s="21"/>
    </row>
    <row r="104" spans="1:48" ht="12" x14ac:dyDescent="0.2">
      <c r="A104" s="21"/>
      <c r="B104" s="21"/>
      <c r="C104" s="21"/>
      <c r="D104" s="21"/>
      <c r="E104" s="21"/>
      <c r="F104" s="21"/>
      <c r="G104" s="21"/>
      <c r="H104" s="21"/>
      <c r="I104" s="134"/>
      <c r="J104" s="135"/>
      <c r="K104" s="134"/>
      <c r="L104" s="135"/>
      <c r="M104" s="135"/>
      <c r="N104" s="135"/>
      <c r="O104" s="135"/>
      <c r="Q104" s="135"/>
      <c r="R104" s="135"/>
      <c r="S104" s="138"/>
      <c r="T104" s="135"/>
      <c r="U104" s="151"/>
      <c r="V104" s="135"/>
      <c r="W104" s="69"/>
      <c r="X104" s="135"/>
      <c r="Y104" s="151"/>
      <c r="Z104" s="151"/>
      <c r="AA104" s="69"/>
      <c r="AB104" s="151"/>
      <c r="AC104" s="151"/>
      <c r="AD104" s="151"/>
      <c r="AE104" s="69"/>
      <c r="AF104" s="151"/>
      <c r="AG104" s="151"/>
      <c r="AH104" s="69"/>
      <c r="AI104" s="151"/>
      <c r="AJ104" s="151"/>
      <c r="AK104" s="69"/>
      <c r="AL104" s="151"/>
      <c r="AM104" s="151"/>
      <c r="AN104" s="69"/>
      <c r="AO104" s="69"/>
      <c r="AP104" s="69"/>
      <c r="AQ104" s="69"/>
      <c r="AR104" s="69"/>
      <c r="AS104" s="69"/>
      <c r="AT104" s="69"/>
      <c r="AU104" s="69"/>
      <c r="AV104" s="21"/>
    </row>
    <row r="105" spans="1:48" ht="12" x14ac:dyDescent="0.2">
      <c r="A105" s="21"/>
      <c r="B105" s="21"/>
      <c r="C105" s="21"/>
      <c r="D105" s="21"/>
      <c r="E105" s="21"/>
      <c r="F105" s="21"/>
      <c r="G105" s="21"/>
      <c r="H105" s="21"/>
      <c r="I105" s="134"/>
      <c r="J105" s="135"/>
      <c r="K105" s="134"/>
      <c r="L105" s="135"/>
      <c r="M105" s="135"/>
      <c r="N105" s="135"/>
      <c r="O105" s="135"/>
      <c r="Q105" s="135"/>
      <c r="R105" s="135"/>
      <c r="S105" s="138"/>
      <c r="T105" s="135"/>
      <c r="U105" s="151"/>
      <c r="V105" s="135"/>
      <c r="W105" s="69"/>
      <c r="X105" s="135"/>
      <c r="Y105" s="151"/>
      <c r="Z105" s="151"/>
      <c r="AA105" s="69"/>
      <c r="AB105" s="151"/>
      <c r="AC105" s="151"/>
      <c r="AD105" s="151"/>
      <c r="AE105" s="69"/>
      <c r="AF105" s="151"/>
      <c r="AG105" s="151"/>
      <c r="AH105" s="69"/>
      <c r="AI105" s="151"/>
      <c r="AJ105" s="151"/>
      <c r="AK105" s="69"/>
      <c r="AL105" s="151"/>
      <c r="AM105" s="151"/>
      <c r="AN105" s="69"/>
      <c r="AO105" s="69"/>
      <c r="AP105" s="69"/>
      <c r="AQ105" s="69"/>
      <c r="AR105" s="69"/>
      <c r="AS105" s="69"/>
      <c r="AT105" s="69"/>
      <c r="AU105" s="69"/>
      <c r="AV105" s="21"/>
    </row>
    <row r="106" spans="1:48" ht="12" x14ac:dyDescent="0.2">
      <c r="A106" s="21"/>
      <c r="B106" s="21"/>
      <c r="C106" s="21"/>
      <c r="D106" s="21"/>
      <c r="E106" s="21"/>
      <c r="F106" s="21"/>
      <c r="G106" s="21"/>
      <c r="H106" s="21"/>
      <c r="I106" s="134"/>
      <c r="J106" s="135"/>
      <c r="K106" s="134"/>
      <c r="L106" s="135"/>
      <c r="M106" s="135"/>
      <c r="N106" s="135"/>
      <c r="O106" s="135"/>
      <c r="Q106" s="135"/>
      <c r="R106" s="135"/>
      <c r="S106" s="138"/>
      <c r="T106" s="135"/>
      <c r="U106" s="151"/>
      <c r="V106" s="135"/>
      <c r="W106" s="69"/>
      <c r="X106" s="135"/>
      <c r="Y106" s="151"/>
      <c r="Z106" s="151"/>
      <c r="AA106" s="69"/>
      <c r="AB106" s="151"/>
      <c r="AC106" s="151"/>
      <c r="AD106" s="151"/>
      <c r="AE106" s="69"/>
      <c r="AF106" s="151"/>
      <c r="AG106" s="151"/>
      <c r="AH106" s="69"/>
      <c r="AI106" s="151"/>
      <c r="AJ106" s="151"/>
      <c r="AK106" s="69"/>
      <c r="AL106" s="151"/>
      <c r="AM106" s="151"/>
      <c r="AN106" s="69"/>
      <c r="AO106" s="69"/>
      <c r="AP106" s="69"/>
      <c r="AQ106" s="69"/>
      <c r="AR106" s="69"/>
      <c r="AS106" s="69"/>
      <c r="AT106" s="69"/>
      <c r="AU106" s="69"/>
      <c r="AV106" s="21"/>
    </row>
    <row r="107" spans="1:48" ht="12" x14ac:dyDescent="0.2">
      <c r="A107" s="21"/>
      <c r="B107" s="21"/>
      <c r="C107" s="21"/>
      <c r="D107" s="21"/>
      <c r="E107" s="21"/>
      <c r="F107" s="21"/>
      <c r="G107" s="21"/>
      <c r="H107" s="21"/>
      <c r="I107" s="134"/>
      <c r="J107" s="135"/>
      <c r="K107" s="134"/>
      <c r="L107" s="135"/>
      <c r="M107" s="135"/>
      <c r="N107" s="135"/>
      <c r="O107" s="135"/>
      <c r="Q107" s="135"/>
      <c r="R107" s="135"/>
      <c r="S107" s="138"/>
      <c r="T107" s="135"/>
      <c r="U107" s="151"/>
      <c r="V107" s="135"/>
      <c r="W107" s="69"/>
      <c r="X107" s="135"/>
      <c r="Y107" s="151"/>
      <c r="Z107" s="151"/>
      <c r="AA107" s="69"/>
      <c r="AB107" s="151"/>
      <c r="AC107" s="151"/>
      <c r="AD107" s="151"/>
      <c r="AE107" s="69"/>
      <c r="AF107" s="151"/>
      <c r="AG107" s="151"/>
      <c r="AH107" s="69"/>
      <c r="AI107" s="151"/>
      <c r="AJ107" s="151"/>
      <c r="AK107" s="69"/>
      <c r="AL107" s="151"/>
      <c r="AM107" s="151"/>
      <c r="AN107" s="69"/>
      <c r="AO107" s="69"/>
      <c r="AP107" s="69"/>
      <c r="AQ107" s="69"/>
      <c r="AR107" s="69"/>
      <c r="AS107" s="69"/>
      <c r="AT107" s="69"/>
      <c r="AU107" s="69"/>
      <c r="AV107" s="21"/>
    </row>
    <row r="108" spans="1:48" ht="12" x14ac:dyDescent="0.2">
      <c r="A108" s="21"/>
      <c r="B108" s="21"/>
      <c r="C108" s="21"/>
      <c r="D108" s="21"/>
      <c r="E108" s="21"/>
      <c r="F108" s="21"/>
      <c r="G108" s="21"/>
      <c r="H108" s="21"/>
      <c r="I108" s="134"/>
      <c r="J108" s="135"/>
      <c r="K108" s="134"/>
      <c r="L108" s="135"/>
      <c r="M108" s="135"/>
      <c r="N108" s="135"/>
      <c r="O108" s="135"/>
      <c r="Q108" s="135"/>
      <c r="R108" s="135"/>
      <c r="S108" s="138"/>
      <c r="T108" s="135"/>
      <c r="U108" s="151"/>
      <c r="V108" s="135"/>
      <c r="W108" s="69"/>
      <c r="X108" s="135"/>
      <c r="Y108" s="151"/>
      <c r="Z108" s="151"/>
      <c r="AA108" s="69"/>
      <c r="AB108" s="151"/>
      <c r="AC108" s="151"/>
      <c r="AD108" s="151"/>
      <c r="AE108" s="69"/>
      <c r="AF108" s="151"/>
      <c r="AG108" s="151"/>
      <c r="AH108" s="69"/>
      <c r="AI108" s="151"/>
      <c r="AJ108" s="151"/>
      <c r="AK108" s="69"/>
      <c r="AL108" s="151"/>
      <c r="AM108" s="151"/>
      <c r="AN108" s="69"/>
      <c r="AO108" s="69"/>
      <c r="AP108" s="69"/>
      <c r="AQ108" s="69"/>
      <c r="AR108" s="69"/>
      <c r="AS108" s="69"/>
      <c r="AT108" s="69"/>
      <c r="AU108" s="69"/>
      <c r="AV108" s="21"/>
    </row>
    <row r="109" spans="1:48" ht="12" x14ac:dyDescent="0.2">
      <c r="A109" s="21"/>
      <c r="B109" s="21"/>
      <c r="C109" s="21"/>
      <c r="D109" s="21"/>
      <c r="E109" s="21"/>
      <c r="F109" s="21"/>
      <c r="G109" s="21"/>
      <c r="H109" s="21"/>
      <c r="I109" s="134"/>
      <c r="J109" s="135"/>
      <c r="K109" s="134"/>
      <c r="L109" s="135"/>
      <c r="M109" s="135"/>
      <c r="N109" s="135"/>
      <c r="O109" s="135"/>
      <c r="Q109" s="135"/>
      <c r="R109" s="135"/>
      <c r="S109" s="138"/>
      <c r="T109" s="135"/>
      <c r="U109" s="151"/>
      <c r="V109" s="135"/>
      <c r="W109" s="69"/>
      <c r="X109" s="135"/>
      <c r="Y109" s="151"/>
      <c r="Z109" s="151"/>
      <c r="AA109" s="69"/>
      <c r="AB109" s="151"/>
      <c r="AC109" s="151"/>
      <c r="AD109" s="151"/>
      <c r="AE109" s="69"/>
      <c r="AF109" s="151"/>
      <c r="AG109" s="151"/>
      <c r="AH109" s="69"/>
      <c r="AI109" s="151"/>
      <c r="AJ109" s="151"/>
      <c r="AK109" s="69"/>
      <c r="AL109" s="151"/>
      <c r="AM109" s="151"/>
      <c r="AN109" s="69"/>
      <c r="AO109" s="69"/>
      <c r="AP109" s="69"/>
      <c r="AQ109" s="69"/>
      <c r="AR109" s="69"/>
      <c r="AS109" s="69"/>
      <c r="AT109" s="69"/>
      <c r="AU109" s="69"/>
      <c r="AV109" s="21"/>
    </row>
    <row r="110" spans="1:48" ht="12" x14ac:dyDescent="0.2">
      <c r="A110" s="21"/>
      <c r="B110" s="21"/>
      <c r="C110" s="21"/>
      <c r="D110" s="21"/>
      <c r="E110" s="21"/>
      <c r="F110" s="21"/>
      <c r="G110" s="21"/>
      <c r="H110" s="21"/>
      <c r="I110" s="134"/>
      <c r="J110" s="135"/>
      <c r="K110" s="134"/>
      <c r="L110" s="135"/>
      <c r="M110" s="135"/>
      <c r="N110" s="135"/>
      <c r="O110" s="135"/>
      <c r="Q110" s="135"/>
      <c r="R110" s="135"/>
      <c r="S110" s="138"/>
      <c r="T110" s="135"/>
      <c r="U110" s="151"/>
      <c r="V110" s="135"/>
      <c r="W110" s="69"/>
      <c r="X110" s="135"/>
      <c r="Y110" s="151"/>
      <c r="Z110" s="151"/>
      <c r="AA110" s="69"/>
      <c r="AB110" s="151"/>
      <c r="AC110" s="151"/>
      <c r="AD110" s="151"/>
      <c r="AE110" s="69"/>
      <c r="AF110" s="151"/>
      <c r="AG110" s="151"/>
      <c r="AH110" s="69"/>
      <c r="AI110" s="151"/>
      <c r="AJ110" s="151"/>
      <c r="AK110" s="69"/>
      <c r="AL110" s="151"/>
      <c r="AM110" s="151"/>
      <c r="AN110" s="69"/>
      <c r="AO110" s="69"/>
      <c r="AP110" s="69"/>
      <c r="AQ110" s="69"/>
      <c r="AR110" s="69"/>
      <c r="AS110" s="69"/>
      <c r="AT110" s="69"/>
      <c r="AU110" s="69"/>
      <c r="AV110" s="21"/>
    </row>
    <row r="111" spans="1:48" ht="12" x14ac:dyDescent="0.2">
      <c r="A111" s="21"/>
      <c r="B111" s="21"/>
      <c r="C111" s="21"/>
      <c r="D111" s="21"/>
      <c r="E111" s="21"/>
      <c r="F111" s="21"/>
      <c r="G111" s="21"/>
      <c r="H111" s="21"/>
      <c r="I111" s="134"/>
      <c r="J111" s="135"/>
      <c r="K111" s="134"/>
      <c r="L111" s="135"/>
      <c r="M111" s="135"/>
      <c r="N111" s="135"/>
      <c r="O111" s="135"/>
      <c r="Q111" s="135"/>
      <c r="R111" s="135"/>
      <c r="S111" s="138"/>
      <c r="T111" s="135"/>
      <c r="U111" s="151"/>
      <c r="V111" s="135"/>
      <c r="W111" s="69"/>
      <c r="X111" s="135"/>
      <c r="Y111" s="151"/>
      <c r="Z111" s="151"/>
      <c r="AA111" s="69"/>
      <c r="AB111" s="151"/>
      <c r="AC111" s="151"/>
      <c r="AD111" s="151"/>
      <c r="AE111" s="69"/>
      <c r="AF111" s="151"/>
      <c r="AG111" s="151"/>
      <c r="AH111" s="69"/>
      <c r="AI111" s="151"/>
      <c r="AJ111" s="151"/>
      <c r="AK111" s="69"/>
      <c r="AL111" s="151"/>
      <c r="AM111" s="151"/>
      <c r="AN111" s="69"/>
      <c r="AO111" s="69"/>
      <c r="AP111" s="69"/>
      <c r="AQ111" s="69"/>
      <c r="AR111" s="69"/>
      <c r="AS111" s="69"/>
      <c r="AT111" s="69"/>
      <c r="AU111" s="69"/>
      <c r="AV111" s="21"/>
    </row>
    <row r="112" spans="1:48" ht="12" x14ac:dyDescent="0.2">
      <c r="A112" s="21"/>
      <c r="B112" s="21"/>
      <c r="C112" s="21"/>
      <c r="D112" s="21"/>
      <c r="E112" s="21"/>
      <c r="F112" s="21"/>
      <c r="G112" s="21"/>
      <c r="H112" s="21"/>
      <c r="I112" s="134"/>
      <c r="J112" s="135"/>
      <c r="K112" s="134"/>
      <c r="L112" s="135"/>
      <c r="M112" s="135"/>
      <c r="N112" s="135"/>
      <c r="O112" s="135"/>
      <c r="Q112" s="135"/>
      <c r="R112" s="135"/>
      <c r="S112" s="138"/>
      <c r="T112" s="135"/>
      <c r="U112" s="151"/>
      <c r="V112" s="135"/>
      <c r="W112" s="69"/>
      <c r="X112" s="135"/>
      <c r="Y112" s="151"/>
      <c r="Z112" s="151"/>
      <c r="AA112" s="69"/>
      <c r="AB112" s="151"/>
      <c r="AC112" s="151"/>
      <c r="AD112" s="151"/>
      <c r="AE112" s="69"/>
      <c r="AF112" s="151"/>
      <c r="AG112" s="151"/>
      <c r="AH112" s="69"/>
      <c r="AI112" s="151"/>
      <c r="AJ112" s="151"/>
      <c r="AK112" s="69"/>
      <c r="AL112" s="151"/>
      <c r="AM112" s="151"/>
      <c r="AN112" s="69"/>
      <c r="AO112" s="69"/>
      <c r="AP112" s="69"/>
      <c r="AQ112" s="69"/>
      <c r="AR112" s="69"/>
      <c r="AS112" s="69"/>
      <c r="AT112" s="69"/>
      <c r="AU112" s="69"/>
      <c r="AV112" s="21"/>
    </row>
    <row r="113" spans="1:48" ht="12" x14ac:dyDescent="0.2">
      <c r="A113" s="21"/>
      <c r="B113" s="21"/>
      <c r="C113" s="21"/>
      <c r="D113" s="21"/>
      <c r="E113" s="21"/>
      <c r="F113" s="21"/>
      <c r="G113" s="21"/>
      <c r="H113" s="21"/>
      <c r="I113" s="134"/>
      <c r="J113" s="135"/>
      <c r="K113" s="134"/>
      <c r="L113" s="135"/>
      <c r="M113" s="135"/>
      <c r="N113" s="135"/>
      <c r="O113" s="135"/>
      <c r="Q113" s="135"/>
      <c r="R113" s="135"/>
      <c r="S113" s="138"/>
      <c r="T113" s="135"/>
      <c r="U113" s="151"/>
      <c r="V113" s="135"/>
      <c r="W113" s="69"/>
      <c r="X113" s="135"/>
      <c r="Y113" s="151"/>
      <c r="Z113" s="151"/>
      <c r="AA113" s="69"/>
      <c r="AB113" s="151"/>
      <c r="AC113" s="151"/>
      <c r="AD113" s="151"/>
      <c r="AE113" s="69"/>
      <c r="AF113" s="151"/>
      <c r="AG113" s="151"/>
      <c r="AH113" s="69"/>
      <c r="AI113" s="151"/>
      <c r="AJ113" s="151"/>
      <c r="AK113" s="69"/>
      <c r="AL113" s="151"/>
      <c r="AM113" s="151"/>
      <c r="AN113" s="69"/>
      <c r="AO113" s="69"/>
      <c r="AP113" s="69"/>
      <c r="AQ113" s="69"/>
      <c r="AR113" s="69"/>
      <c r="AS113" s="69"/>
      <c r="AT113" s="69"/>
      <c r="AU113" s="69"/>
      <c r="AV113" s="21"/>
    </row>
    <row r="114" spans="1:48" ht="12" x14ac:dyDescent="0.2">
      <c r="A114" s="21"/>
      <c r="B114" s="21"/>
      <c r="C114" s="21"/>
      <c r="D114" s="21"/>
      <c r="E114" s="21"/>
      <c r="F114" s="21"/>
      <c r="G114" s="21"/>
      <c r="H114" s="21"/>
      <c r="I114" s="134"/>
      <c r="J114" s="135"/>
      <c r="K114" s="134"/>
      <c r="L114" s="135"/>
      <c r="M114" s="135"/>
      <c r="N114" s="135"/>
      <c r="O114" s="135"/>
      <c r="Q114" s="135"/>
      <c r="R114" s="135"/>
      <c r="S114" s="138"/>
      <c r="T114" s="135"/>
      <c r="U114" s="151"/>
      <c r="V114" s="135"/>
      <c r="W114" s="69"/>
      <c r="X114" s="135"/>
      <c r="Y114" s="151"/>
      <c r="Z114" s="151"/>
      <c r="AA114" s="69"/>
      <c r="AB114" s="151"/>
      <c r="AC114" s="151"/>
      <c r="AD114" s="151"/>
      <c r="AE114" s="69"/>
      <c r="AF114" s="151"/>
      <c r="AG114" s="151"/>
      <c r="AH114" s="69"/>
      <c r="AI114" s="151"/>
      <c r="AJ114" s="151"/>
      <c r="AK114" s="69"/>
      <c r="AL114" s="151"/>
      <c r="AM114" s="151"/>
      <c r="AN114" s="69"/>
      <c r="AO114" s="69"/>
      <c r="AP114" s="69"/>
      <c r="AQ114" s="69"/>
      <c r="AR114" s="69"/>
      <c r="AS114" s="69"/>
      <c r="AT114" s="69"/>
      <c r="AU114" s="69"/>
      <c r="AV114" s="21"/>
    </row>
    <row r="115" spans="1:48" ht="12" x14ac:dyDescent="0.2">
      <c r="A115" s="21"/>
      <c r="B115" s="21"/>
      <c r="C115" s="21"/>
      <c r="D115" s="21"/>
      <c r="E115" s="21"/>
      <c r="F115" s="21"/>
      <c r="G115" s="21"/>
      <c r="H115" s="21"/>
      <c r="I115" s="134"/>
      <c r="J115" s="135"/>
      <c r="K115" s="134"/>
      <c r="L115" s="135"/>
      <c r="M115" s="135"/>
      <c r="N115" s="135"/>
      <c r="O115" s="135"/>
      <c r="Q115" s="135"/>
      <c r="R115" s="135"/>
      <c r="S115" s="138"/>
      <c r="T115" s="135"/>
      <c r="U115" s="151"/>
      <c r="V115" s="135"/>
      <c r="W115" s="69"/>
      <c r="X115" s="135"/>
      <c r="Y115" s="151"/>
      <c r="Z115" s="151"/>
      <c r="AA115" s="69"/>
      <c r="AB115" s="151"/>
      <c r="AC115" s="151"/>
      <c r="AD115" s="151"/>
      <c r="AE115" s="69"/>
      <c r="AF115" s="151"/>
      <c r="AG115" s="151"/>
      <c r="AH115" s="69"/>
      <c r="AI115" s="151"/>
      <c r="AJ115" s="151"/>
      <c r="AK115" s="69"/>
      <c r="AL115" s="151"/>
      <c r="AM115" s="151"/>
      <c r="AN115" s="69"/>
      <c r="AO115" s="69"/>
      <c r="AP115" s="69"/>
      <c r="AQ115" s="69"/>
      <c r="AR115" s="69"/>
      <c r="AS115" s="69"/>
      <c r="AT115" s="69"/>
      <c r="AU115" s="69"/>
      <c r="AV115" s="21"/>
    </row>
    <row r="116" spans="1:48" ht="12" x14ac:dyDescent="0.2">
      <c r="A116" s="21"/>
      <c r="B116" s="21"/>
      <c r="C116" s="21"/>
      <c r="D116" s="21"/>
      <c r="E116" s="21"/>
      <c r="F116" s="21"/>
      <c r="G116" s="21"/>
      <c r="H116" s="21"/>
      <c r="I116" s="134"/>
      <c r="J116" s="135"/>
      <c r="K116" s="134"/>
      <c r="L116" s="135"/>
      <c r="M116" s="135"/>
      <c r="N116" s="135"/>
      <c r="O116" s="135"/>
      <c r="Q116" s="135"/>
      <c r="R116" s="135"/>
      <c r="S116" s="138"/>
      <c r="T116" s="135"/>
      <c r="U116" s="151"/>
      <c r="V116" s="135"/>
      <c r="W116" s="69"/>
      <c r="X116" s="135"/>
      <c r="Y116" s="151"/>
      <c r="Z116" s="151"/>
      <c r="AA116" s="69"/>
      <c r="AB116" s="151"/>
      <c r="AC116" s="151"/>
      <c r="AD116" s="151"/>
      <c r="AE116" s="69"/>
      <c r="AF116" s="151"/>
      <c r="AG116" s="151"/>
      <c r="AH116" s="69"/>
      <c r="AI116" s="151"/>
      <c r="AJ116" s="151"/>
      <c r="AK116" s="69"/>
      <c r="AL116" s="151"/>
      <c r="AM116" s="151"/>
      <c r="AN116" s="69"/>
      <c r="AO116" s="69"/>
      <c r="AP116" s="69"/>
      <c r="AQ116" s="69"/>
      <c r="AR116" s="69"/>
      <c r="AS116" s="69"/>
      <c r="AT116" s="69"/>
      <c r="AU116" s="69"/>
      <c r="AV116" s="21"/>
    </row>
    <row r="117" spans="1:48" ht="12" x14ac:dyDescent="0.2">
      <c r="A117" s="21"/>
      <c r="B117" s="21"/>
      <c r="C117" s="21"/>
      <c r="D117" s="21"/>
      <c r="E117" s="21"/>
      <c r="F117" s="21"/>
      <c r="G117" s="21"/>
      <c r="H117" s="21"/>
      <c r="I117" s="134"/>
      <c r="J117" s="135"/>
      <c r="K117" s="134"/>
      <c r="L117" s="135"/>
      <c r="M117" s="135"/>
      <c r="N117" s="135"/>
      <c r="O117" s="135"/>
      <c r="Q117" s="135"/>
      <c r="R117" s="135"/>
      <c r="S117" s="138"/>
      <c r="T117" s="135"/>
      <c r="U117" s="151"/>
      <c r="V117" s="135"/>
      <c r="W117" s="69"/>
      <c r="X117" s="135"/>
      <c r="Y117" s="151"/>
      <c r="Z117" s="151"/>
      <c r="AA117" s="69"/>
      <c r="AB117" s="151"/>
      <c r="AC117" s="151"/>
      <c r="AD117" s="151"/>
      <c r="AE117" s="69"/>
      <c r="AF117" s="151"/>
      <c r="AG117" s="151"/>
      <c r="AH117" s="69"/>
      <c r="AI117" s="151"/>
      <c r="AJ117" s="151"/>
      <c r="AK117" s="69"/>
      <c r="AL117" s="151"/>
      <c r="AM117" s="151"/>
      <c r="AN117" s="69"/>
      <c r="AO117" s="69"/>
      <c r="AP117" s="69"/>
      <c r="AQ117" s="69"/>
      <c r="AR117" s="69"/>
      <c r="AS117" s="69"/>
      <c r="AT117" s="69"/>
      <c r="AU117" s="69"/>
      <c r="AV117" s="21"/>
    </row>
    <row r="118" spans="1:48" ht="12" x14ac:dyDescent="0.2">
      <c r="A118" s="21"/>
      <c r="B118" s="21"/>
      <c r="C118" s="21"/>
      <c r="D118" s="21"/>
      <c r="E118" s="21"/>
      <c r="F118" s="21"/>
      <c r="G118" s="21"/>
      <c r="H118" s="21"/>
      <c r="I118" s="134"/>
      <c r="J118" s="135"/>
      <c r="K118" s="134"/>
      <c r="L118" s="135"/>
      <c r="M118" s="135"/>
      <c r="N118" s="135"/>
      <c r="O118" s="135"/>
      <c r="Q118" s="135"/>
      <c r="R118" s="135"/>
      <c r="S118" s="138"/>
      <c r="T118" s="135"/>
      <c r="U118" s="151"/>
      <c r="V118" s="135"/>
      <c r="W118" s="69"/>
      <c r="X118" s="135"/>
      <c r="Y118" s="151"/>
      <c r="Z118" s="151"/>
      <c r="AA118" s="69"/>
      <c r="AB118" s="151"/>
      <c r="AC118" s="151"/>
      <c r="AD118" s="151"/>
      <c r="AE118" s="69"/>
      <c r="AF118" s="151"/>
      <c r="AG118" s="151"/>
      <c r="AH118" s="69"/>
      <c r="AI118" s="151"/>
      <c r="AJ118" s="151"/>
      <c r="AK118" s="69"/>
      <c r="AL118" s="151"/>
      <c r="AM118" s="151"/>
      <c r="AN118" s="69"/>
      <c r="AO118" s="69"/>
      <c r="AP118" s="69"/>
      <c r="AQ118" s="69"/>
      <c r="AR118" s="69"/>
      <c r="AS118" s="69"/>
      <c r="AT118" s="69"/>
      <c r="AU118" s="69"/>
      <c r="AV118" s="21"/>
    </row>
    <row r="119" spans="1:48" ht="12" x14ac:dyDescent="0.2">
      <c r="A119" s="21"/>
      <c r="B119" s="21"/>
      <c r="C119" s="21"/>
      <c r="D119" s="21"/>
      <c r="E119" s="21"/>
      <c r="F119" s="21"/>
      <c r="G119" s="21"/>
      <c r="H119" s="21"/>
      <c r="I119" s="134"/>
      <c r="J119" s="135"/>
      <c r="K119" s="134"/>
      <c r="L119" s="135"/>
      <c r="M119" s="135"/>
      <c r="N119" s="135"/>
      <c r="O119" s="135"/>
      <c r="Q119" s="135"/>
      <c r="R119" s="135"/>
      <c r="S119" s="138"/>
      <c r="T119" s="135"/>
      <c r="U119" s="151"/>
      <c r="V119" s="135"/>
      <c r="W119" s="69"/>
      <c r="X119" s="135"/>
      <c r="Y119" s="151"/>
      <c r="Z119" s="151"/>
      <c r="AA119" s="69"/>
      <c r="AB119" s="151"/>
      <c r="AC119" s="151"/>
      <c r="AD119" s="151"/>
      <c r="AE119" s="69"/>
      <c r="AF119" s="151"/>
      <c r="AG119" s="151"/>
      <c r="AH119" s="69"/>
      <c r="AI119" s="151"/>
      <c r="AJ119" s="151"/>
      <c r="AK119" s="69"/>
      <c r="AL119" s="151"/>
      <c r="AM119" s="151"/>
      <c r="AN119" s="69"/>
      <c r="AO119" s="69"/>
      <c r="AP119" s="69"/>
      <c r="AQ119" s="69"/>
      <c r="AR119" s="69"/>
      <c r="AS119" s="69"/>
      <c r="AT119" s="69"/>
      <c r="AU119" s="69"/>
      <c r="AV119" s="21"/>
    </row>
    <row r="120" spans="1:48" ht="12" x14ac:dyDescent="0.2">
      <c r="A120" s="21"/>
      <c r="B120" s="21"/>
      <c r="C120" s="21"/>
      <c r="D120" s="21"/>
      <c r="E120" s="21"/>
      <c r="F120" s="21"/>
      <c r="G120" s="21"/>
      <c r="H120" s="21"/>
      <c r="I120" s="134"/>
      <c r="J120" s="135"/>
      <c r="K120" s="134"/>
      <c r="L120" s="135"/>
      <c r="M120" s="135"/>
      <c r="N120" s="135"/>
      <c r="O120" s="135"/>
      <c r="Q120" s="135"/>
      <c r="R120" s="135"/>
      <c r="S120" s="138"/>
      <c r="T120" s="135"/>
      <c r="U120" s="151"/>
      <c r="V120" s="135"/>
      <c r="W120" s="69"/>
      <c r="X120" s="135"/>
      <c r="Y120" s="151"/>
      <c r="Z120" s="151"/>
      <c r="AA120" s="69"/>
      <c r="AB120" s="151"/>
      <c r="AC120" s="151"/>
      <c r="AD120" s="151"/>
      <c r="AE120" s="69"/>
      <c r="AF120" s="151"/>
      <c r="AG120" s="151"/>
      <c r="AH120" s="69"/>
      <c r="AI120" s="151"/>
      <c r="AJ120" s="151"/>
      <c r="AK120" s="69"/>
      <c r="AL120" s="151"/>
      <c r="AM120" s="151"/>
      <c r="AN120" s="69"/>
      <c r="AO120" s="69"/>
      <c r="AP120" s="69"/>
      <c r="AQ120" s="69"/>
      <c r="AR120" s="69"/>
      <c r="AS120" s="69"/>
      <c r="AT120" s="69"/>
      <c r="AU120" s="69"/>
      <c r="AV120" s="21"/>
    </row>
    <row r="121" spans="1:48" ht="12" x14ac:dyDescent="0.2">
      <c r="A121" s="21"/>
      <c r="B121" s="21"/>
      <c r="C121" s="21"/>
      <c r="D121" s="21"/>
      <c r="E121" s="21"/>
      <c r="F121" s="21"/>
      <c r="G121" s="21"/>
      <c r="H121" s="21"/>
      <c r="I121" s="134"/>
      <c r="J121" s="135"/>
      <c r="K121" s="134"/>
      <c r="L121" s="135"/>
      <c r="M121" s="135"/>
      <c r="N121" s="135"/>
      <c r="O121" s="135"/>
      <c r="Q121" s="135"/>
      <c r="R121" s="135"/>
      <c r="S121" s="138"/>
      <c r="T121" s="135"/>
      <c r="U121" s="151"/>
      <c r="V121" s="135"/>
      <c r="W121" s="69"/>
      <c r="X121" s="135"/>
      <c r="Y121" s="151"/>
      <c r="Z121" s="151"/>
      <c r="AA121" s="69"/>
      <c r="AB121" s="151"/>
      <c r="AC121" s="151"/>
      <c r="AD121" s="151"/>
      <c r="AE121" s="69"/>
      <c r="AF121" s="151"/>
      <c r="AG121" s="151"/>
      <c r="AH121" s="69"/>
      <c r="AI121" s="151"/>
      <c r="AJ121" s="151"/>
      <c r="AK121" s="69"/>
      <c r="AL121" s="151"/>
      <c r="AM121" s="151"/>
      <c r="AN121" s="69"/>
      <c r="AO121" s="69"/>
      <c r="AP121" s="69"/>
      <c r="AQ121" s="69"/>
      <c r="AR121" s="69"/>
      <c r="AS121" s="69"/>
      <c r="AT121" s="69"/>
      <c r="AU121" s="69"/>
      <c r="AV121" s="21"/>
    </row>
    <row r="122" spans="1:48" ht="12" x14ac:dyDescent="0.2">
      <c r="A122" s="21"/>
      <c r="B122" s="21"/>
      <c r="C122" s="21"/>
      <c r="D122" s="21"/>
      <c r="E122" s="21"/>
      <c r="F122" s="21"/>
      <c r="G122" s="21"/>
      <c r="H122" s="21"/>
      <c r="I122" s="134"/>
      <c r="J122" s="135"/>
      <c r="K122" s="134"/>
      <c r="L122" s="135"/>
      <c r="M122" s="135"/>
      <c r="N122" s="135"/>
      <c r="O122" s="135"/>
      <c r="Q122" s="135"/>
      <c r="R122" s="135"/>
      <c r="S122" s="138"/>
      <c r="T122" s="135"/>
      <c r="U122" s="151"/>
      <c r="V122" s="135"/>
      <c r="W122" s="69"/>
      <c r="X122" s="135"/>
      <c r="Y122" s="151"/>
      <c r="Z122" s="151"/>
      <c r="AA122" s="69"/>
      <c r="AB122" s="151"/>
      <c r="AC122" s="151"/>
      <c r="AD122" s="151"/>
      <c r="AE122" s="69"/>
      <c r="AF122" s="151"/>
      <c r="AG122" s="151"/>
      <c r="AH122" s="69"/>
      <c r="AI122" s="151"/>
      <c r="AJ122" s="151"/>
      <c r="AK122" s="69"/>
      <c r="AL122" s="151"/>
      <c r="AM122" s="151"/>
      <c r="AN122" s="69"/>
      <c r="AO122" s="69"/>
      <c r="AP122" s="69"/>
      <c r="AQ122" s="69"/>
      <c r="AR122" s="69"/>
      <c r="AS122" s="69"/>
      <c r="AT122" s="69"/>
      <c r="AU122" s="69"/>
      <c r="AV122" s="21"/>
    </row>
    <row r="123" spans="1:48" ht="12" x14ac:dyDescent="0.2">
      <c r="A123" s="21"/>
      <c r="B123" s="21"/>
      <c r="C123" s="21"/>
      <c r="D123" s="21"/>
      <c r="E123" s="21"/>
      <c r="F123" s="21"/>
      <c r="G123" s="21"/>
      <c r="H123" s="21"/>
      <c r="I123" s="134"/>
      <c r="J123" s="135"/>
      <c r="K123" s="134"/>
      <c r="L123" s="135"/>
      <c r="M123" s="135"/>
      <c r="N123" s="135"/>
      <c r="O123" s="135"/>
      <c r="Q123" s="135"/>
      <c r="R123" s="135"/>
      <c r="S123" s="138"/>
      <c r="T123" s="135"/>
      <c r="U123" s="151"/>
      <c r="V123" s="135"/>
      <c r="W123" s="69"/>
      <c r="X123" s="135"/>
      <c r="Y123" s="151"/>
      <c r="Z123" s="151"/>
      <c r="AA123" s="69"/>
      <c r="AB123" s="151"/>
      <c r="AC123" s="151"/>
      <c r="AD123" s="151"/>
      <c r="AE123" s="69"/>
      <c r="AF123" s="151"/>
      <c r="AG123" s="151"/>
      <c r="AH123" s="69"/>
      <c r="AI123" s="151"/>
      <c r="AJ123" s="151"/>
      <c r="AK123" s="69"/>
      <c r="AL123" s="151"/>
      <c r="AM123" s="151"/>
      <c r="AN123" s="69"/>
      <c r="AO123" s="69"/>
      <c r="AP123" s="69"/>
      <c r="AQ123" s="69"/>
      <c r="AR123" s="69"/>
      <c r="AS123" s="69"/>
      <c r="AT123" s="69"/>
      <c r="AU123" s="69"/>
      <c r="AV123" s="21"/>
    </row>
    <row r="124" spans="1:48" ht="12" x14ac:dyDescent="0.2">
      <c r="A124" s="21"/>
      <c r="B124" s="21"/>
      <c r="C124" s="21"/>
      <c r="D124" s="21"/>
      <c r="E124" s="21"/>
      <c r="F124" s="21"/>
      <c r="G124" s="21"/>
      <c r="H124" s="21"/>
      <c r="I124" s="134"/>
      <c r="J124" s="135"/>
      <c r="K124" s="134"/>
      <c r="L124" s="135"/>
      <c r="M124" s="135"/>
      <c r="N124" s="135"/>
      <c r="O124" s="135"/>
      <c r="Q124" s="135"/>
      <c r="R124" s="135"/>
      <c r="S124" s="138"/>
      <c r="T124" s="135"/>
      <c r="U124" s="151"/>
      <c r="V124" s="135"/>
      <c r="W124" s="69"/>
      <c r="X124" s="135"/>
      <c r="Y124" s="151"/>
      <c r="Z124" s="151"/>
      <c r="AA124" s="69"/>
      <c r="AB124" s="151"/>
      <c r="AC124" s="151"/>
      <c r="AD124" s="151"/>
      <c r="AE124" s="69"/>
      <c r="AF124" s="151"/>
      <c r="AG124" s="151"/>
      <c r="AH124" s="69"/>
      <c r="AI124" s="151"/>
      <c r="AJ124" s="151"/>
      <c r="AK124" s="69"/>
      <c r="AL124" s="151"/>
      <c r="AM124" s="151"/>
      <c r="AN124" s="69"/>
      <c r="AO124" s="69"/>
      <c r="AP124" s="69"/>
      <c r="AQ124" s="69"/>
      <c r="AR124" s="69"/>
      <c r="AS124" s="69"/>
      <c r="AT124" s="69"/>
      <c r="AU124" s="69"/>
      <c r="AV124" s="21"/>
    </row>
    <row r="125" spans="1:48" ht="12" x14ac:dyDescent="0.2">
      <c r="A125" s="21"/>
      <c r="B125" s="21"/>
      <c r="C125" s="21"/>
      <c r="D125" s="21"/>
      <c r="E125" s="21"/>
      <c r="F125" s="21"/>
      <c r="G125" s="21"/>
      <c r="H125" s="21"/>
      <c r="I125" s="134"/>
      <c r="J125" s="135"/>
      <c r="K125" s="134"/>
      <c r="L125" s="135"/>
      <c r="M125" s="135"/>
      <c r="N125" s="135"/>
      <c r="O125" s="135"/>
      <c r="Q125" s="135"/>
      <c r="R125" s="135"/>
      <c r="S125" s="138"/>
      <c r="T125" s="135"/>
      <c r="U125" s="151"/>
      <c r="V125" s="135"/>
      <c r="W125" s="69"/>
      <c r="X125" s="135"/>
      <c r="Y125" s="151"/>
      <c r="Z125" s="151"/>
      <c r="AA125" s="69"/>
      <c r="AB125" s="151"/>
      <c r="AC125" s="151"/>
      <c r="AD125" s="151"/>
      <c r="AE125" s="69"/>
      <c r="AF125" s="151"/>
      <c r="AG125" s="151"/>
      <c r="AH125" s="69"/>
      <c r="AI125" s="151"/>
      <c r="AJ125" s="151"/>
      <c r="AK125" s="69"/>
      <c r="AL125" s="151"/>
      <c r="AM125" s="151"/>
      <c r="AN125" s="69"/>
      <c r="AO125" s="69"/>
      <c r="AP125" s="69"/>
      <c r="AQ125" s="69"/>
      <c r="AR125" s="69"/>
      <c r="AS125" s="69"/>
      <c r="AT125" s="69"/>
      <c r="AU125" s="69"/>
      <c r="AV125" s="21"/>
    </row>
    <row r="126" spans="1:48" ht="12" x14ac:dyDescent="0.2">
      <c r="A126" s="21"/>
      <c r="B126" s="21"/>
      <c r="C126" s="21"/>
      <c r="D126" s="21"/>
      <c r="E126" s="21"/>
      <c r="F126" s="21"/>
      <c r="G126" s="21"/>
      <c r="H126" s="21"/>
      <c r="I126" s="134"/>
      <c r="J126" s="135"/>
      <c r="K126" s="134"/>
      <c r="L126" s="135"/>
      <c r="M126" s="135"/>
      <c r="N126" s="135"/>
      <c r="O126" s="135"/>
      <c r="Q126" s="135"/>
      <c r="R126" s="135"/>
      <c r="S126" s="138"/>
      <c r="T126" s="135"/>
      <c r="U126" s="151"/>
      <c r="V126" s="135"/>
      <c r="W126" s="69"/>
      <c r="X126" s="135"/>
      <c r="Y126" s="151"/>
      <c r="Z126" s="151"/>
      <c r="AA126" s="69"/>
      <c r="AB126" s="151"/>
      <c r="AC126" s="151"/>
      <c r="AD126" s="151"/>
      <c r="AE126" s="69"/>
      <c r="AF126" s="151"/>
      <c r="AG126" s="151"/>
      <c r="AH126" s="69"/>
      <c r="AI126" s="151"/>
      <c r="AJ126" s="151"/>
      <c r="AK126" s="69"/>
      <c r="AL126" s="151"/>
      <c r="AM126" s="151"/>
      <c r="AN126" s="69"/>
      <c r="AO126" s="69"/>
      <c r="AP126" s="69"/>
      <c r="AQ126" s="69"/>
      <c r="AR126" s="69"/>
      <c r="AS126" s="69"/>
      <c r="AT126" s="69"/>
      <c r="AU126" s="69"/>
      <c r="AV126" s="21"/>
    </row>
    <row r="127" spans="1:48" ht="12" x14ac:dyDescent="0.2">
      <c r="A127" s="21"/>
      <c r="B127" s="21"/>
      <c r="C127" s="21"/>
      <c r="D127" s="21"/>
      <c r="E127" s="21"/>
      <c r="F127" s="21"/>
      <c r="G127" s="21"/>
      <c r="H127" s="21"/>
      <c r="I127" s="134"/>
      <c r="J127" s="135"/>
      <c r="K127" s="134"/>
      <c r="L127" s="135"/>
      <c r="M127" s="135"/>
      <c r="N127" s="135"/>
      <c r="O127" s="135"/>
      <c r="Q127" s="135"/>
      <c r="R127" s="135"/>
      <c r="S127" s="138"/>
      <c r="T127" s="135"/>
      <c r="U127" s="151"/>
      <c r="V127" s="135"/>
      <c r="W127" s="69"/>
      <c r="X127" s="135"/>
      <c r="Y127" s="151"/>
      <c r="Z127" s="151"/>
      <c r="AA127" s="69"/>
      <c r="AB127" s="151"/>
      <c r="AC127" s="151"/>
      <c r="AD127" s="151"/>
      <c r="AE127" s="69"/>
      <c r="AF127" s="151"/>
      <c r="AG127" s="151"/>
      <c r="AH127" s="69"/>
      <c r="AI127" s="151"/>
      <c r="AJ127" s="151"/>
      <c r="AK127" s="69"/>
      <c r="AL127" s="151"/>
      <c r="AM127" s="151"/>
      <c r="AN127" s="69"/>
      <c r="AO127" s="69"/>
      <c r="AP127" s="69"/>
      <c r="AQ127" s="69"/>
      <c r="AR127" s="69"/>
      <c r="AS127" s="69"/>
      <c r="AT127" s="69"/>
      <c r="AU127" s="69"/>
      <c r="AV127" s="21"/>
    </row>
    <row r="128" spans="1:48" ht="12" x14ac:dyDescent="0.2">
      <c r="A128" s="21"/>
      <c r="B128" s="21"/>
      <c r="C128" s="21"/>
      <c r="D128" s="21"/>
      <c r="E128" s="21"/>
      <c r="F128" s="21"/>
      <c r="G128" s="21"/>
      <c r="H128" s="21"/>
      <c r="I128" s="134"/>
      <c r="J128" s="135"/>
      <c r="K128" s="134"/>
      <c r="L128" s="135"/>
      <c r="M128" s="135"/>
      <c r="N128" s="135"/>
      <c r="O128" s="135"/>
      <c r="Q128" s="135"/>
      <c r="R128" s="135"/>
      <c r="S128" s="138"/>
      <c r="T128" s="135"/>
      <c r="U128" s="151"/>
      <c r="V128" s="135"/>
      <c r="W128" s="69"/>
      <c r="X128" s="135"/>
      <c r="Y128" s="151"/>
      <c r="Z128" s="151"/>
      <c r="AA128" s="69"/>
      <c r="AB128" s="151"/>
      <c r="AC128" s="151"/>
      <c r="AD128" s="151"/>
      <c r="AE128" s="69"/>
      <c r="AF128" s="151"/>
      <c r="AG128" s="151"/>
      <c r="AH128" s="69"/>
      <c r="AI128" s="151"/>
      <c r="AJ128" s="151"/>
      <c r="AK128" s="69"/>
      <c r="AL128" s="151"/>
      <c r="AM128" s="151"/>
      <c r="AN128" s="69"/>
      <c r="AO128" s="69"/>
      <c r="AP128" s="69"/>
      <c r="AQ128" s="69"/>
      <c r="AR128" s="69"/>
      <c r="AS128" s="69"/>
      <c r="AT128" s="69"/>
      <c r="AU128" s="69"/>
      <c r="AV128" s="21"/>
    </row>
    <row r="129" spans="1:48" ht="12" x14ac:dyDescent="0.2">
      <c r="A129" s="21"/>
      <c r="B129" s="21"/>
      <c r="C129" s="21"/>
      <c r="D129" s="21"/>
      <c r="E129" s="21"/>
      <c r="F129" s="21"/>
      <c r="G129" s="21"/>
      <c r="H129" s="21"/>
      <c r="I129" s="134"/>
      <c r="J129" s="135"/>
      <c r="K129" s="134"/>
      <c r="L129" s="135"/>
      <c r="M129" s="135"/>
      <c r="N129" s="135"/>
      <c r="O129" s="135"/>
      <c r="Q129" s="135"/>
      <c r="R129" s="135"/>
      <c r="S129" s="138"/>
      <c r="T129" s="135"/>
      <c r="U129" s="151"/>
      <c r="V129" s="135"/>
      <c r="W129" s="69"/>
      <c r="X129" s="135"/>
      <c r="Y129" s="151"/>
      <c r="Z129" s="151"/>
      <c r="AA129" s="69"/>
      <c r="AB129" s="151"/>
      <c r="AC129" s="151"/>
      <c r="AD129" s="151"/>
      <c r="AE129" s="69"/>
      <c r="AF129" s="151"/>
      <c r="AG129" s="151"/>
      <c r="AH129" s="69"/>
      <c r="AI129" s="151"/>
      <c r="AJ129" s="151"/>
      <c r="AK129" s="69"/>
      <c r="AL129" s="151"/>
      <c r="AM129" s="151"/>
      <c r="AN129" s="69"/>
      <c r="AO129" s="69"/>
      <c r="AP129" s="69"/>
      <c r="AQ129" s="69"/>
      <c r="AR129" s="69"/>
      <c r="AS129" s="69"/>
      <c r="AT129" s="69"/>
      <c r="AU129" s="69"/>
      <c r="AV129" s="21"/>
    </row>
    <row r="130" spans="1:48" ht="12" x14ac:dyDescent="0.2">
      <c r="A130" s="21"/>
      <c r="B130" s="21"/>
      <c r="C130" s="21"/>
      <c r="D130" s="21"/>
      <c r="E130" s="21"/>
      <c r="F130" s="21"/>
      <c r="G130" s="21"/>
      <c r="H130" s="21"/>
      <c r="I130" s="134"/>
      <c r="J130" s="135"/>
      <c r="K130" s="134"/>
      <c r="L130" s="135"/>
      <c r="M130" s="135"/>
      <c r="N130" s="135"/>
      <c r="O130" s="135"/>
      <c r="Q130" s="135"/>
      <c r="R130" s="135"/>
      <c r="S130" s="138"/>
      <c r="T130" s="135"/>
      <c r="U130" s="151"/>
      <c r="V130" s="135"/>
      <c r="W130" s="69"/>
      <c r="X130" s="135"/>
      <c r="Y130" s="151"/>
      <c r="Z130" s="151"/>
      <c r="AA130" s="69"/>
      <c r="AB130" s="151"/>
      <c r="AC130" s="151"/>
      <c r="AD130" s="151"/>
      <c r="AE130" s="69"/>
      <c r="AF130" s="151"/>
      <c r="AG130" s="151"/>
      <c r="AH130" s="69"/>
      <c r="AI130" s="151"/>
      <c r="AJ130" s="151"/>
      <c r="AK130" s="69"/>
      <c r="AL130" s="151"/>
      <c r="AM130" s="151"/>
      <c r="AN130" s="69"/>
      <c r="AO130" s="69"/>
      <c r="AP130" s="69"/>
      <c r="AQ130" s="69"/>
      <c r="AR130" s="69"/>
      <c r="AS130" s="69"/>
      <c r="AT130" s="69"/>
      <c r="AU130" s="69"/>
      <c r="AV130" s="21"/>
    </row>
    <row r="131" spans="1:48" ht="12" x14ac:dyDescent="0.2">
      <c r="A131" s="21"/>
      <c r="B131" s="21"/>
      <c r="C131" s="21"/>
      <c r="D131" s="21"/>
      <c r="E131" s="21"/>
      <c r="F131" s="21"/>
      <c r="G131" s="21"/>
      <c r="H131" s="21"/>
      <c r="I131" s="134"/>
      <c r="J131" s="135"/>
      <c r="K131" s="134"/>
      <c r="L131" s="135"/>
      <c r="M131" s="135"/>
      <c r="N131" s="135"/>
      <c r="O131" s="135"/>
      <c r="Q131" s="135"/>
      <c r="R131" s="135"/>
      <c r="S131" s="138"/>
      <c r="T131" s="135"/>
      <c r="U131" s="151"/>
      <c r="V131" s="135"/>
      <c r="W131" s="69"/>
      <c r="X131" s="135"/>
      <c r="Y131" s="151"/>
      <c r="Z131" s="151"/>
      <c r="AA131" s="69"/>
      <c r="AB131" s="151"/>
      <c r="AC131" s="151"/>
      <c r="AD131" s="151"/>
      <c r="AE131" s="69"/>
      <c r="AF131" s="151"/>
      <c r="AG131" s="151"/>
      <c r="AH131" s="69"/>
      <c r="AI131" s="151"/>
      <c r="AJ131" s="151"/>
      <c r="AK131" s="69"/>
      <c r="AL131" s="151"/>
      <c r="AM131" s="151"/>
      <c r="AN131" s="69"/>
      <c r="AO131" s="69"/>
      <c r="AP131" s="69"/>
      <c r="AQ131" s="69"/>
      <c r="AR131" s="69"/>
      <c r="AS131" s="69"/>
      <c r="AT131" s="69"/>
      <c r="AU131" s="69"/>
      <c r="AV131" s="21"/>
    </row>
    <row r="132" spans="1:48" ht="12" x14ac:dyDescent="0.2">
      <c r="A132" s="21"/>
      <c r="B132" s="21"/>
      <c r="C132" s="21"/>
      <c r="D132" s="21"/>
      <c r="E132" s="21"/>
      <c r="F132" s="21"/>
      <c r="G132" s="21"/>
      <c r="H132" s="21"/>
      <c r="I132" s="134"/>
      <c r="J132" s="135"/>
      <c r="K132" s="134"/>
      <c r="L132" s="135"/>
      <c r="M132" s="135"/>
      <c r="N132" s="135"/>
      <c r="O132" s="135"/>
      <c r="Q132" s="135"/>
      <c r="R132" s="135"/>
      <c r="S132" s="138"/>
      <c r="T132" s="135"/>
      <c r="U132" s="151"/>
      <c r="V132" s="135"/>
      <c r="W132" s="69"/>
      <c r="X132" s="135"/>
      <c r="Y132" s="151"/>
      <c r="Z132" s="151"/>
      <c r="AA132" s="69"/>
      <c r="AB132" s="151"/>
      <c r="AC132" s="151"/>
      <c r="AD132" s="151"/>
      <c r="AE132" s="69"/>
      <c r="AF132" s="151"/>
      <c r="AG132" s="151"/>
      <c r="AH132" s="69"/>
      <c r="AI132" s="151"/>
      <c r="AJ132" s="151"/>
      <c r="AK132" s="69"/>
      <c r="AL132" s="151"/>
      <c r="AM132" s="151"/>
      <c r="AN132" s="69"/>
      <c r="AO132" s="69"/>
      <c r="AP132" s="69"/>
      <c r="AQ132" s="69"/>
      <c r="AR132" s="69"/>
      <c r="AS132" s="69"/>
      <c r="AT132" s="69"/>
      <c r="AU132" s="69"/>
      <c r="AV132" s="21"/>
    </row>
    <row r="133" spans="1:48" ht="12" x14ac:dyDescent="0.2">
      <c r="A133" s="21"/>
      <c r="B133" s="21"/>
      <c r="C133" s="21"/>
      <c r="D133" s="21"/>
      <c r="E133" s="21"/>
      <c r="F133" s="21"/>
      <c r="G133" s="21"/>
      <c r="H133" s="21"/>
      <c r="I133" s="134"/>
      <c r="J133" s="135"/>
      <c r="K133" s="134"/>
      <c r="L133" s="135"/>
      <c r="M133" s="135"/>
      <c r="N133" s="135"/>
      <c r="O133" s="135"/>
      <c r="Q133" s="135"/>
      <c r="R133" s="135"/>
      <c r="S133" s="138"/>
      <c r="T133" s="135"/>
      <c r="U133" s="151"/>
      <c r="V133" s="135"/>
      <c r="W133" s="69"/>
      <c r="X133" s="135"/>
      <c r="Y133" s="151"/>
      <c r="Z133" s="151"/>
      <c r="AA133" s="69"/>
      <c r="AB133" s="151"/>
      <c r="AC133" s="151"/>
      <c r="AD133" s="151"/>
      <c r="AE133" s="69"/>
      <c r="AF133" s="151"/>
      <c r="AG133" s="151"/>
      <c r="AH133" s="69"/>
      <c r="AI133" s="151"/>
      <c r="AJ133" s="151"/>
      <c r="AK133" s="69"/>
      <c r="AL133" s="151"/>
      <c r="AM133" s="151"/>
      <c r="AN133" s="69"/>
      <c r="AO133" s="69"/>
      <c r="AP133" s="69"/>
      <c r="AQ133" s="69"/>
      <c r="AR133" s="69"/>
      <c r="AS133" s="69"/>
      <c r="AT133" s="69"/>
      <c r="AU133" s="69"/>
      <c r="AV133" s="21"/>
    </row>
    <row r="134" spans="1:48" ht="12" x14ac:dyDescent="0.2">
      <c r="A134" s="21"/>
      <c r="B134" s="21"/>
      <c r="C134" s="21"/>
      <c r="D134" s="21"/>
      <c r="E134" s="21"/>
      <c r="F134" s="21"/>
      <c r="G134" s="21"/>
      <c r="H134" s="21"/>
      <c r="I134" s="134"/>
      <c r="J134" s="135"/>
      <c r="K134" s="134"/>
      <c r="L134" s="135"/>
      <c r="M134" s="135"/>
      <c r="N134" s="135"/>
      <c r="O134" s="135"/>
      <c r="Q134" s="135"/>
      <c r="R134" s="135"/>
      <c r="S134" s="138"/>
      <c r="T134" s="135"/>
      <c r="U134" s="151"/>
      <c r="V134" s="135"/>
      <c r="W134" s="69"/>
      <c r="X134" s="135"/>
      <c r="Y134" s="151"/>
      <c r="Z134" s="151"/>
      <c r="AA134" s="69"/>
      <c r="AB134" s="151"/>
      <c r="AC134" s="151"/>
      <c r="AD134" s="151"/>
      <c r="AE134" s="69"/>
      <c r="AF134" s="151"/>
      <c r="AG134" s="151"/>
      <c r="AH134" s="69"/>
      <c r="AI134" s="151"/>
      <c r="AJ134" s="151"/>
      <c r="AK134" s="69"/>
      <c r="AL134" s="151"/>
      <c r="AM134" s="151"/>
      <c r="AN134" s="69"/>
      <c r="AO134" s="69"/>
      <c r="AP134" s="69"/>
      <c r="AQ134" s="69"/>
      <c r="AR134" s="69"/>
      <c r="AS134" s="69"/>
      <c r="AT134" s="69"/>
      <c r="AU134" s="69"/>
      <c r="AV134" s="21"/>
    </row>
    <row r="135" spans="1:48" ht="12" x14ac:dyDescent="0.2">
      <c r="A135" s="21"/>
      <c r="B135" s="21"/>
      <c r="C135" s="21"/>
      <c r="D135" s="21"/>
      <c r="E135" s="21"/>
      <c r="F135" s="21"/>
      <c r="G135" s="21"/>
      <c r="H135" s="21"/>
      <c r="I135" s="134"/>
      <c r="J135" s="135"/>
      <c r="K135" s="134"/>
      <c r="L135" s="135"/>
      <c r="M135" s="135"/>
      <c r="N135" s="135"/>
      <c r="O135" s="135"/>
      <c r="Q135" s="135"/>
      <c r="R135" s="135"/>
      <c r="S135" s="138"/>
      <c r="T135" s="135"/>
      <c r="U135" s="151"/>
      <c r="V135" s="135"/>
      <c r="W135" s="69"/>
      <c r="X135" s="135"/>
      <c r="Y135" s="151"/>
      <c r="Z135" s="151"/>
      <c r="AA135" s="69"/>
      <c r="AB135" s="151"/>
      <c r="AC135" s="151"/>
      <c r="AD135" s="151"/>
      <c r="AE135" s="69"/>
      <c r="AF135" s="151"/>
      <c r="AG135" s="151"/>
      <c r="AH135" s="69"/>
      <c r="AI135" s="151"/>
      <c r="AJ135" s="151"/>
      <c r="AK135" s="69"/>
      <c r="AL135" s="151"/>
      <c r="AM135" s="151"/>
      <c r="AN135" s="69"/>
      <c r="AO135" s="69"/>
      <c r="AP135" s="69"/>
      <c r="AQ135" s="69"/>
      <c r="AR135" s="69"/>
      <c r="AS135" s="69"/>
      <c r="AT135" s="69"/>
      <c r="AU135" s="69"/>
      <c r="AV135" s="21"/>
    </row>
    <row r="136" spans="1:48" ht="12" x14ac:dyDescent="0.2">
      <c r="A136" s="21"/>
      <c r="B136" s="21"/>
      <c r="C136" s="21"/>
      <c r="D136" s="21"/>
      <c r="E136" s="21"/>
      <c r="F136" s="21"/>
      <c r="G136" s="21"/>
      <c r="H136" s="21"/>
      <c r="I136" s="134"/>
      <c r="J136" s="135"/>
      <c r="K136" s="134"/>
      <c r="L136" s="135"/>
      <c r="M136" s="135"/>
      <c r="N136" s="135"/>
      <c r="O136" s="135"/>
      <c r="Q136" s="135"/>
      <c r="R136" s="135"/>
      <c r="S136" s="138"/>
      <c r="T136" s="135"/>
      <c r="U136" s="151"/>
      <c r="V136" s="135"/>
      <c r="W136" s="69"/>
      <c r="X136" s="135"/>
      <c r="Y136" s="151"/>
      <c r="Z136" s="151"/>
      <c r="AA136" s="69"/>
      <c r="AB136" s="151"/>
      <c r="AC136" s="151"/>
      <c r="AD136" s="151"/>
      <c r="AE136" s="69"/>
      <c r="AF136" s="151"/>
      <c r="AG136" s="151"/>
      <c r="AH136" s="69"/>
      <c r="AI136" s="151"/>
      <c r="AJ136" s="151"/>
      <c r="AK136" s="69"/>
      <c r="AL136" s="151"/>
      <c r="AM136" s="151"/>
      <c r="AN136" s="69"/>
      <c r="AO136" s="69"/>
      <c r="AP136" s="69"/>
      <c r="AQ136" s="69"/>
      <c r="AR136" s="69"/>
      <c r="AS136" s="69"/>
      <c r="AT136" s="69"/>
      <c r="AU136" s="69"/>
      <c r="AV136" s="21"/>
    </row>
    <row r="137" spans="1:48" ht="12" x14ac:dyDescent="0.2">
      <c r="A137" s="21"/>
      <c r="B137" s="21"/>
      <c r="C137" s="21"/>
      <c r="D137" s="21"/>
      <c r="E137" s="21"/>
      <c r="F137" s="21"/>
      <c r="G137" s="21"/>
      <c r="H137" s="21"/>
      <c r="I137" s="134"/>
      <c r="J137" s="135"/>
      <c r="K137" s="134"/>
      <c r="L137" s="135"/>
      <c r="M137" s="135"/>
      <c r="N137" s="135"/>
      <c r="O137" s="135"/>
      <c r="Q137" s="135"/>
      <c r="R137" s="135"/>
      <c r="S137" s="138"/>
      <c r="T137" s="135"/>
      <c r="U137" s="151"/>
      <c r="V137" s="135"/>
      <c r="W137" s="69"/>
      <c r="X137" s="135"/>
      <c r="Y137" s="151"/>
      <c r="Z137" s="151"/>
      <c r="AA137" s="69"/>
      <c r="AB137" s="151"/>
      <c r="AC137" s="151"/>
      <c r="AD137" s="151"/>
      <c r="AE137" s="69"/>
      <c r="AF137" s="151"/>
      <c r="AG137" s="151"/>
      <c r="AH137" s="69"/>
      <c r="AI137" s="151"/>
      <c r="AJ137" s="151"/>
      <c r="AK137" s="69"/>
      <c r="AL137" s="151"/>
      <c r="AM137" s="151"/>
      <c r="AN137" s="69"/>
      <c r="AO137" s="69"/>
      <c r="AP137" s="69"/>
      <c r="AQ137" s="69"/>
      <c r="AR137" s="69"/>
      <c r="AS137" s="69"/>
      <c r="AT137" s="69"/>
      <c r="AU137" s="69"/>
      <c r="AV137" s="21"/>
    </row>
    <row r="138" spans="1:48" ht="12" x14ac:dyDescent="0.2">
      <c r="A138" s="21"/>
      <c r="B138" s="21"/>
      <c r="C138" s="21"/>
      <c r="D138" s="21"/>
      <c r="E138" s="21"/>
      <c r="F138" s="21"/>
      <c r="G138" s="21"/>
      <c r="H138" s="21"/>
      <c r="I138" s="134"/>
      <c r="J138" s="135"/>
      <c r="K138" s="134"/>
      <c r="L138" s="135"/>
      <c r="M138" s="135"/>
      <c r="N138" s="135"/>
      <c r="O138" s="135"/>
      <c r="Q138" s="135"/>
      <c r="R138" s="135"/>
      <c r="S138" s="138"/>
      <c r="T138" s="135"/>
      <c r="U138" s="151"/>
      <c r="V138" s="135"/>
      <c r="W138" s="69"/>
      <c r="X138" s="135"/>
      <c r="Y138" s="151"/>
      <c r="Z138" s="151"/>
      <c r="AA138" s="69"/>
      <c r="AB138" s="151"/>
      <c r="AC138" s="151"/>
      <c r="AD138" s="151"/>
      <c r="AE138" s="69"/>
      <c r="AF138" s="151"/>
      <c r="AG138" s="151"/>
      <c r="AH138" s="69"/>
      <c r="AI138" s="151"/>
      <c r="AJ138" s="151"/>
      <c r="AK138" s="69"/>
      <c r="AL138" s="151"/>
      <c r="AM138" s="151"/>
      <c r="AN138" s="69"/>
      <c r="AO138" s="69"/>
      <c r="AP138" s="69"/>
      <c r="AQ138" s="69"/>
      <c r="AR138" s="69"/>
      <c r="AS138" s="69"/>
      <c r="AT138" s="69"/>
      <c r="AU138" s="69"/>
      <c r="AV138" s="21"/>
    </row>
    <row r="139" spans="1:48" ht="12" x14ac:dyDescent="0.2">
      <c r="A139" s="21"/>
      <c r="B139" s="21"/>
      <c r="C139" s="21"/>
      <c r="D139" s="21"/>
      <c r="E139" s="21"/>
      <c r="F139" s="21"/>
      <c r="G139" s="21"/>
      <c r="H139" s="21"/>
      <c r="I139" s="134"/>
      <c r="J139" s="135"/>
      <c r="K139" s="134"/>
      <c r="L139" s="135"/>
      <c r="M139" s="135"/>
      <c r="N139" s="135"/>
      <c r="O139" s="135"/>
      <c r="Q139" s="135"/>
      <c r="R139" s="135"/>
      <c r="S139" s="138"/>
      <c r="T139" s="135"/>
      <c r="U139" s="151"/>
      <c r="V139" s="135"/>
      <c r="W139" s="69"/>
      <c r="X139" s="135"/>
      <c r="Y139" s="151"/>
      <c r="Z139" s="151"/>
      <c r="AA139" s="69"/>
      <c r="AB139" s="151"/>
      <c r="AC139" s="151"/>
      <c r="AD139" s="151"/>
      <c r="AE139" s="69"/>
      <c r="AF139" s="151"/>
      <c r="AG139" s="151"/>
      <c r="AH139" s="69"/>
      <c r="AI139" s="151"/>
      <c r="AJ139" s="151"/>
      <c r="AK139" s="69"/>
      <c r="AL139" s="151"/>
      <c r="AM139" s="151"/>
      <c r="AN139" s="69"/>
      <c r="AO139" s="69"/>
      <c r="AP139" s="69"/>
      <c r="AQ139" s="69"/>
      <c r="AR139" s="69"/>
      <c r="AS139" s="69"/>
      <c r="AT139" s="69"/>
      <c r="AU139" s="69"/>
      <c r="AV139" s="21"/>
    </row>
    <row r="140" spans="1:48" ht="12" x14ac:dyDescent="0.2">
      <c r="A140" s="21"/>
      <c r="B140" s="21"/>
      <c r="C140" s="21"/>
      <c r="D140" s="21"/>
      <c r="E140" s="21"/>
      <c r="F140" s="21"/>
      <c r="G140" s="21"/>
      <c r="H140" s="21"/>
      <c r="I140" s="134"/>
      <c r="J140" s="135"/>
      <c r="K140" s="134"/>
      <c r="L140" s="135"/>
      <c r="M140" s="135"/>
      <c r="N140" s="135"/>
      <c r="O140" s="135"/>
      <c r="Q140" s="135"/>
      <c r="R140" s="135"/>
      <c r="S140" s="138"/>
      <c r="T140" s="135"/>
      <c r="U140" s="151"/>
      <c r="V140" s="135"/>
      <c r="W140" s="69"/>
      <c r="X140" s="135"/>
      <c r="Y140" s="151"/>
      <c r="Z140" s="151"/>
      <c r="AA140" s="69"/>
      <c r="AB140" s="151"/>
      <c r="AC140" s="151"/>
      <c r="AD140" s="151"/>
      <c r="AE140" s="69"/>
      <c r="AF140" s="151"/>
      <c r="AG140" s="151"/>
      <c r="AH140" s="69"/>
      <c r="AI140" s="151"/>
      <c r="AJ140" s="151"/>
      <c r="AK140" s="69"/>
      <c r="AL140" s="151"/>
      <c r="AM140" s="151"/>
      <c r="AN140" s="69"/>
      <c r="AO140" s="69"/>
      <c r="AP140" s="69"/>
      <c r="AQ140" s="69"/>
      <c r="AR140" s="69"/>
      <c r="AS140" s="69"/>
      <c r="AT140" s="69"/>
      <c r="AU140" s="69"/>
      <c r="AV140" s="21"/>
    </row>
    <row r="141" spans="1:48" ht="12" x14ac:dyDescent="0.2">
      <c r="A141" s="21"/>
      <c r="B141" s="21"/>
      <c r="C141" s="21"/>
      <c r="D141" s="21"/>
      <c r="E141" s="21"/>
      <c r="F141" s="21"/>
      <c r="G141" s="21"/>
      <c r="H141" s="21"/>
      <c r="I141" s="134"/>
      <c r="J141" s="135"/>
      <c r="K141" s="134"/>
      <c r="L141" s="135"/>
      <c r="M141" s="135"/>
      <c r="N141" s="135"/>
      <c r="O141" s="135"/>
      <c r="Q141" s="135"/>
      <c r="R141" s="135"/>
      <c r="S141" s="138"/>
      <c r="T141" s="135"/>
      <c r="U141" s="151"/>
      <c r="V141" s="135"/>
      <c r="W141" s="69"/>
      <c r="X141" s="135"/>
      <c r="Y141" s="151"/>
      <c r="Z141" s="151"/>
      <c r="AA141" s="69"/>
      <c r="AB141" s="151"/>
      <c r="AC141" s="151"/>
      <c r="AD141" s="151"/>
      <c r="AE141" s="69"/>
      <c r="AF141" s="151"/>
      <c r="AG141" s="151"/>
      <c r="AH141" s="69"/>
      <c r="AI141" s="151"/>
      <c r="AJ141" s="151"/>
      <c r="AK141" s="69"/>
      <c r="AL141" s="151"/>
      <c r="AM141" s="151"/>
      <c r="AN141" s="69"/>
      <c r="AO141" s="69"/>
      <c r="AP141" s="69"/>
      <c r="AQ141" s="69"/>
      <c r="AR141" s="69"/>
      <c r="AS141" s="69"/>
      <c r="AT141" s="69"/>
      <c r="AU141" s="69"/>
      <c r="AV141" s="21"/>
    </row>
    <row r="142" spans="1:48" ht="12" x14ac:dyDescent="0.2">
      <c r="A142" s="21"/>
      <c r="B142" s="21"/>
      <c r="C142" s="21"/>
      <c r="D142" s="21"/>
      <c r="E142" s="21"/>
      <c r="F142" s="21"/>
      <c r="G142" s="21"/>
      <c r="H142" s="21"/>
      <c r="I142" s="134"/>
      <c r="J142" s="135"/>
      <c r="K142" s="134"/>
      <c r="L142" s="135"/>
      <c r="M142" s="135"/>
      <c r="N142" s="135"/>
      <c r="O142" s="135"/>
      <c r="Q142" s="135"/>
      <c r="R142" s="135"/>
      <c r="S142" s="138"/>
      <c r="T142" s="135"/>
      <c r="U142" s="151"/>
      <c r="V142" s="135"/>
      <c r="W142" s="69"/>
      <c r="X142" s="135"/>
      <c r="Y142" s="151"/>
      <c r="Z142" s="151"/>
      <c r="AA142" s="69"/>
      <c r="AB142" s="151"/>
      <c r="AC142" s="151"/>
      <c r="AD142" s="151"/>
      <c r="AE142" s="69"/>
      <c r="AF142" s="151"/>
      <c r="AG142" s="151"/>
      <c r="AH142" s="69"/>
      <c r="AI142" s="151"/>
      <c r="AJ142" s="151"/>
      <c r="AK142" s="69"/>
      <c r="AL142" s="151"/>
      <c r="AM142" s="151"/>
      <c r="AN142" s="69"/>
      <c r="AO142" s="69"/>
      <c r="AP142" s="69"/>
      <c r="AQ142" s="69"/>
      <c r="AR142" s="69"/>
      <c r="AS142" s="69"/>
      <c r="AT142" s="69"/>
      <c r="AU142" s="69"/>
      <c r="AV142" s="21"/>
    </row>
    <row r="143" spans="1:48" ht="12" x14ac:dyDescent="0.2">
      <c r="A143" s="21"/>
      <c r="B143" s="21"/>
      <c r="C143" s="21"/>
      <c r="D143" s="21"/>
      <c r="E143" s="21"/>
      <c r="F143" s="21"/>
      <c r="G143" s="21"/>
      <c r="H143" s="21"/>
      <c r="I143" s="134"/>
      <c r="J143" s="135"/>
      <c r="K143" s="134"/>
      <c r="L143" s="135"/>
      <c r="M143" s="135"/>
      <c r="N143" s="135"/>
      <c r="O143" s="135"/>
      <c r="Q143" s="135"/>
      <c r="R143" s="135"/>
      <c r="S143" s="138"/>
      <c r="T143" s="135"/>
      <c r="U143" s="151"/>
      <c r="V143" s="135"/>
      <c r="W143" s="69"/>
      <c r="X143" s="135"/>
      <c r="Y143" s="151"/>
      <c r="Z143" s="151"/>
      <c r="AA143" s="69"/>
      <c r="AB143" s="151"/>
      <c r="AC143" s="151"/>
      <c r="AD143" s="151"/>
      <c r="AE143" s="69"/>
      <c r="AF143" s="151"/>
      <c r="AG143" s="151"/>
      <c r="AH143" s="69"/>
      <c r="AI143" s="151"/>
      <c r="AJ143" s="151"/>
      <c r="AK143" s="69"/>
      <c r="AL143" s="151"/>
      <c r="AM143" s="151"/>
      <c r="AN143" s="69"/>
      <c r="AO143" s="69"/>
      <c r="AP143" s="69"/>
      <c r="AQ143" s="69"/>
      <c r="AR143" s="69"/>
      <c r="AS143" s="69"/>
      <c r="AT143" s="69"/>
      <c r="AU143" s="69"/>
      <c r="AV143" s="21"/>
    </row>
    <row r="144" spans="1:48" ht="12" x14ac:dyDescent="0.2">
      <c r="A144" s="21"/>
      <c r="B144" s="21"/>
      <c r="C144" s="21"/>
      <c r="D144" s="21"/>
      <c r="E144" s="21"/>
      <c r="F144" s="21"/>
      <c r="G144" s="21"/>
      <c r="H144" s="21"/>
      <c r="I144" s="134"/>
      <c r="J144" s="135"/>
      <c r="K144" s="134"/>
      <c r="L144" s="135"/>
      <c r="M144" s="135"/>
      <c r="N144" s="135"/>
      <c r="O144" s="135"/>
      <c r="Q144" s="135"/>
      <c r="R144" s="135"/>
      <c r="S144" s="138"/>
      <c r="T144" s="135"/>
      <c r="U144" s="151"/>
      <c r="V144" s="135"/>
      <c r="W144" s="69"/>
      <c r="X144" s="135"/>
      <c r="Y144" s="151"/>
      <c r="Z144" s="151"/>
      <c r="AA144" s="69"/>
      <c r="AB144" s="151"/>
      <c r="AC144" s="151"/>
      <c r="AD144" s="151"/>
      <c r="AE144" s="69"/>
      <c r="AF144" s="151"/>
      <c r="AG144" s="151"/>
      <c r="AH144" s="69"/>
      <c r="AI144" s="151"/>
      <c r="AJ144" s="151"/>
      <c r="AK144" s="69"/>
      <c r="AL144" s="151"/>
      <c r="AM144" s="151"/>
      <c r="AN144" s="69"/>
      <c r="AO144" s="69"/>
      <c r="AP144" s="69"/>
      <c r="AQ144" s="69"/>
      <c r="AR144" s="69"/>
      <c r="AS144" s="69"/>
      <c r="AT144" s="69"/>
      <c r="AU144" s="69"/>
      <c r="AV144" s="21"/>
    </row>
    <row r="145" spans="1:48" ht="12" x14ac:dyDescent="0.2">
      <c r="A145" s="21"/>
      <c r="B145" s="21"/>
      <c r="C145" s="21"/>
      <c r="D145" s="21"/>
      <c r="E145" s="21"/>
      <c r="F145" s="21"/>
      <c r="G145" s="21"/>
      <c r="H145" s="21"/>
      <c r="I145" s="134"/>
      <c r="J145" s="135"/>
      <c r="K145" s="134"/>
      <c r="L145" s="135"/>
      <c r="M145" s="135"/>
      <c r="N145" s="135"/>
      <c r="O145" s="135"/>
      <c r="Q145" s="135"/>
      <c r="R145" s="135"/>
      <c r="S145" s="138"/>
      <c r="T145" s="135"/>
      <c r="U145" s="151"/>
      <c r="V145" s="135"/>
      <c r="W145" s="69"/>
      <c r="X145" s="135"/>
      <c r="Y145" s="151"/>
      <c r="Z145" s="151"/>
      <c r="AA145" s="69"/>
      <c r="AB145" s="151"/>
      <c r="AC145" s="151"/>
      <c r="AD145" s="151"/>
      <c r="AE145" s="69"/>
      <c r="AF145" s="151"/>
      <c r="AG145" s="151"/>
      <c r="AH145" s="69"/>
      <c r="AI145" s="151"/>
      <c r="AJ145" s="151"/>
      <c r="AK145" s="69"/>
      <c r="AL145" s="151"/>
      <c r="AM145" s="151"/>
      <c r="AN145" s="69"/>
      <c r="AO145" s="69"/>
      <c r="AP145" s="69"/>
      <c r="AQ145" s="69"/>
      <c r="AR145" s="69"/>
      <c r="AS145" s="69"/>
      <c r="AT145" s="69"/>
      <c r="AU145" s="69"/>
      <c r="AV145" s="21"/>
    </row>
    <row r="146" spans="1:48" ht="12" x14ac:dyDescent="0.2">
      <c r="A146" s="21"/>
      <c r="B146" s="21"/>
      <c r="C146" s="21"/>
      <c r="D146" s="21"/>
      <c r="E146" s="21"/>
      <c r="F146" s="21"/>
      <c r="G146" s="21"/>
      <c r="H146" s="21"/>
      <c r="I146" s="134"/>
      <c r="J146" s="135"/>
      <c r="K146" s="134"/>
      <c r="L146" s="135"/>
      <c r="M146" s="135"/>
      <c r="N146" s="135"/>
      <c r="O146" s="135"/>
      <c r="Q146" s="135"/>
      <c r="R146" s="135"/>
      <c r="S146" s="138"/>
      <c r="T146" s="135"/>
      <c r="U146" s="151"/>
      <c r="V146" s="135"/>
      <c r="W146" s="69"/>
      <c r="X146" s="135"/>
      <c r="Y146" s="151"/>
      <c r="Z146" s="151"/>
      <c r="AA146" s="69"/>
      <c r="AB146" s="151"/>
      <c r="AC146" s="151"/>
      <c r="AD146" s="151"/>
      <c r="AE146" s="69"/>
      <c r="AF146" s="151"/>
      <c r="AG146" s="151"/>
      <c r="AH146" s="69"/>
      <c r="AI146" s="151"/>
      <c r="AJ146" s="151"/>
      <c r="AK146" s="69"/>
      <c r="AL146" s="151"/>
      <c r="AM146" s="151"/>
      <c r="AN146" s="69"/>
      <c r="AO146" s="69"/>
      <c r="AP146" s="69"/>
      <c r="AQ146" s="69"/>
      <c r="AR146" s="69"/>
      <c r="AS146" s="69"/>
      <c r="AT146" s="69"/>
      <c r="AU146" s="69"/>
      <c r="AV146" s="21"/>
    </row>
    <row r="147" spans="1:48" ht="12" x14ac:dyDescent="0.2">
      <c r="A147" s="21"/>
      <c r="B147" s="21"/>
      <c r="C147" s="21"/>
      <c r="D147" s="21"/>
      <c r="E147" s="21"/>
      <c r="F147" s="21"/>
      <c r="G147" s="21"/>
      <c r="H147" s="21"/>
      <c r="I147" s="134"/>
      <c r="J147" s="135"/>
      <c r="K147" s="134"/>
      <c r="L147" s="135"/>
      <c r="M147" s="135"/>
      <c r="N147" s="135"/>
      <c r="O147" s="135"/>
      <c r="Q147" s="135"/>
      <c r="R147" s="135"/>
      <c r="S147" s="138"/>
      <c r="T147" s="135"/>
      <c r="U147" s="151"/>
      <c r="V147" s="135"/>
      <c r="W147" s="69"/>
      <c r="X147" s="135"/>
      <c r="Y147" s="151"/>
      <c r="Z147" s="151"/>
      <c r="AA147" s="69"/>
      <c r="AB147" s="151"/>
      <c r="AC147" s="151"/>
      <c r="AD147" s="151"/>
      <c r="AE147" s="69"/>
      <c r="AF147" s="151"/>
      <c r="AG147" s="151"/>
      <c r="AH147" s="69"/>
      <c r="AI147" s="151"/>
      <c r="AJ147" s="151"/>
      <c r="AK147" s="69"/>
      <c r="AL147" s="151"/>
      <c r="AM147" s="151"/>
      <c r="AN147" s="69"/>
      <c r="AO147" s="69"/>
      <c r="AP147" s="69"/>
      <c r="AQ147" s="69"/>
      <c r="AR147" s="69"/>
      <c r="AS147" s="69"/>
      <c r="AT147" s="69"/>
      <c r="AU147" s="69"/>
      <c r="AV147" s="21"/>
    </row>
    <row r="148" spans="1:48" ht="12" x14ac:dyDescent="0.2">
      <c r="A148" s="21"/>
      <c r="B148" s="21"/>
      <c r="C148" s="21"/>
      <c r="D148" s="21"/>
      <c r="E148" s="21"/>
      <c r="F148" s="21"/>
      <c r="G148" s="21"/>
      <c r="H148" s="21"/>
      <c r="I148" s="134"/>
      <c r="J148" s="135"/>
      <c r="K148" s="134"/>
      <c r="L148" s="135"/>
      <c r="M148" s="135"/>
      <c r="N148" s="135"/>
      <c r="O148" s="135"/>
      <c r="Q148" s="135"/>
      <c r="R148" s="135"/>
      <c r="S148" s="138"/>
      <c r="T148" s="135"/>
      <c r="U148" s="151"/>
      <c r="V148" s="135"/>
      <c r="W148" s="69"/>
      <c r="X148" s="135"/>
      <c r="Y148" s="151"/>
      <c r="Z148" s="151"/>
      <c r="AA148" s="69"/>
      <c r="AB148" s="151"/>
      <c r="AC148" s="151"/>
      <c r="AD148" s="151"/>
      <c r="AE148" s="69"/>
      <c r="AF148" s="151"/>
      <c r="AG148" s="151"/>
      <c r="AH148" s="69"/>
      <c r="AI148" s="151"/>
      <c r="AJ148" s="151"/>
      <c r="AK148" s="69"/>
      <c r="AL148" s="151"/>
      <c r="AM148" s="151"/>
      <c r="AN148" s="69"/>
      <c r="AO148" s="69"/>
      <c r="AP148" s="69"/>
      <c r="AQ148" s="69"/>
      <c r="AR148" s="69"/>
      <c r="AS148" s="69"/>
      <c r="AT148" s="69"/>
      <c r="AU148" s="69"/>
      <c r="AV148" s="21"/>
    </row>
    <row r="149" spans="1:48" ht="12" x14ac:dyDescent="0.2">
      <c r="A149" s="21"/>
      <c r="B149" s="21"/>
      <c r="C149" s="21"/>
      <c r="D149" s="21"/>
      <c r="E149" s="21"/>
      <c r="F149" s="21"/>
      <c r="G149" s="21"/>
      <c r="H149" s="21"/>
      <c r="I149" s="134"/>
      <c r="J149" s="135"/>
      <c r="K149" s="134"/>
      <c r="L149" s="135"/>
      <c r="M149" s="135"/>
      <c r="N149" s="135"/>
      <c r="O149" s="135"/>
      <c r="Q149" s="135"/>
      <c r="R149" s="135"/>
      <c r="S149" s="138"/>
      <c r="T149" s="135"/>
      <c r="U149" s="151"/>
      <c r="V149" s="135"/>
      <c r="W149" s="69"/>
      <c r="X149" s="135"/>
      <c r="Y149" s="151"/>
      <c r="Z149" s="151"/>
      <c r="AA149" s="69"/>
      <c r="AB149" s="151"/>
      <c r="AC149" s="151"/>
      <c r="AD149" s="151"/>
      <c r="AE149" s="69"/>
      <c r="AF149" s="151"/>
      <c r="AG149" s="151"/>
      <c r="AH149" s="69"/>
      <c r="AI149" s="151"/>
      <c r="AJ149" s="151"/>
      <c r="AK149" s="69"/>
      <c r="AL149" s="151"/>
      <c r="AM149" s="151"/>
      <c r="AN149" s="69"/>
      <c r="AO149" s="69"/>
      <c r="AP149" s="69"/>
      <c r="AQ149" s="69"/>
      <c r="AR149" s="69"/>
      <c r="AS149" s="69"/>
      <c r="AT149" s="69"/>
      <c r="AU149" s="69"/>
      <c r="AV149" s="21"/>
    </row>
    <row r="150" spans="1:48" ht="12" x14ac:dyDescent="0.2">
      <c r="A150" s="21"/>
      <c r="B150" s="21"/>
      <c r="C150" s="21"/>
      <c r="D150" s="21"/>
      <c r="E150" s="21"/>
      <c r="F150" s="21"/>
      <c r="G150" s="21"/>
      <c r="H150" s="21"/>
      <c r="I150" s="134"/>
      <c r="J150" s="135"/>
      <c r="K150" s="134"/>
      <c r="L150" s="135"/>
      <c r="M150" s="135"/>
      <c r="N150" s="135"/>
      <c r="O150" s="135"/>
      <c r="Q150" s="135"/>
      <c r="R150" s="135"/>
      <c r="S150" s="138"/>
      <c r="T150" s="135"/>
      <c r="U150" s="151"/>
      <c r="V150" s="135"/>
      <c r="W150" s="69"/>
      <c r="X150" s="135"/>
      <c r="Y150" s="151"/>
      <c r="Z150" s="151"/>
      <c r="AA150" s="69"/>
      <c r="AB150" s="151"/>
      <c r="AC150" s="151"/>
      <c r="AD150" s="151"/>
      <c r="AE150" s="69"/>
      <c r="AF150" s="151"/>
      <c r="AG150" s="151"/>
      <c r="AH150" s="69"/>
      <c r="AI150" s="151"/>
      <c r="AJ150" s="151"/>
      <c r="AK150" s="69"/>
      <c r="AL150" s="151"/>
      <c r="AM150" s="151"/>
      <c r="AN150" s="69"/>
      <c r="AO150" s="69"/>
      <c r="AP150" s="69"/>
      <c r="AQ150" s="69"/>
      <c r="AR150" s="69"/>
      <c r="AS150" s="69"/>
      <c r="AT150" s="69"/>
      <c r="AU150" s="69"/>
      <c r="AV150" s="21"/>
    </row>
    <row r="151" spans="1:48" ht="12" x14ac:dyDescent="0.2">
      <c r="A151" s="21"/>
      <c r="B151" s="21"/>
      <c r="C151" s="21"/>
      <c r="D151" s="21"/>
      <c r="E151" s="21"/>
      <c r="F151" s="21"/>
      <c r="G151" s="21"/>
      <c r="H151" s="21"/>
      <c r="I151" s="134"/>
      <c r="J151" s="135"/>
      <c r="K151" s="134"/>
      <c r="L151" s="135"/>
      <c r="M151" s="135"/>
      <c r="N151" s="135"/>
      <c r="O151" s="135"/>
      <c r="Q151" s="135"/>
      <c r="R151" s="135"/>
      <c r="S151" s="138"/>
      <c r="T151" s="135"/>
      <c r="U151" s="151"/>
      <c r="V151" s="135"/>
      <c r="W151" s="69"/>
      <c r="X151" s="135"/>
      <c r="Y151" s="151"/>
      <c r="Z151" s="151"/>
      <c r="AA151" s="69"/>
      <c r="AB151" s="151"/>
      <c r="AC151" s="151"/>
      <c r="AD151" s="151"/>
      <c r="AE151" s="69"/>
      <c r="AF151" s="151"/>
      <c r="AG151" s="151"/>
      <c r="AH151" s="69"/>
      <c r="AI151" s="151"/>
      <c r="AJ151" s="151"/>
      <c r="AK151" s="69"/>
      <c r="AL151" s="151"/>
      <c r="AM151" s="151"/>
      <c r="AN151" s="69"/>
      <c r="AO151" s="69"/>
      <c r="AP151" s="69"/>
      <c r="AQ151" s="69"/>
      <c r="AR151" s="69"/>
      <c r="AS151" s="69"/>
      <c r="AT151" s="69"/>
      <c r="AU151" s="69"/>
      <c r="AV151" s="21"/>
    </row>
    <row r="152" spans="1:48" ht="12" x14ac:dyDescent="0.2">
      <c r="A152" s="21"/>
      <c r="B152" s="21"/>
      <c r="C152" s="21"/>
      <c r="D152" s="21"/>
      <c r="E152" s="21"/>
      <c r="F152" s="21"/>
      <c r="G152" s="21"/>
      <c r="H152" s="21"/>
      <c r="I152" s="134"/>
      <c r="J152" s="135"/>
      <c r="K152" s="134"/>
      <c r="L152" s="135"/>
      <c r="M152" s="135"/>
      <c r="N152" s="135"/>
      <c r="O152" s="135"/>
      <c r="Q152" s="135"/>
      <c r="R152" s="135"/>
      <c r="S152" s="138"/>
      <c r="T152" s="135"/>
      <c r="U152" s="151"/>
      <c r="V152" s="135"/>
      <c r="W152" s="69"/>
      <c r="X152" s="135"/>
      <c r="Y152" s="151"/>
      <c r="Z152" s="151"/>
      <c r="AA152" s="69"/>
      <c r="AB152" s="151"/>
      <c r="AC152" s="151"/>
      <c r="AD152" s="151"/>
      <c r="AE152" s="69"/>
      <c r="AF152" s="151"/>
      <c r="AG152" s="151"/>
      <c r="AH152" s="69"/>
      <c r="AI152" s="151"/>
      <c r="AJ152" s="151"/>
      <c r="AK152" s="69"/>
      <c r="AL152" s="151"/>
      <c r="AM152" s="151"/>
      <c r="AN152" s="69"/>
      <c r="AO152" s="69"/>
      <c r="AP152" s="69"/>
      <c r="AQ152" s="69"/>
      <c r="AR152" s="69"/>
      <c r="AS152" s="69"/>
      <c r="AT152" s="69"/>
      <c r="AU152" s="69"/>
      <c r="AV152" s="21"/>
    </row>
    <row r="153" spans="1:48" ht="12" x14ac:dyDescent="0.2">
      <c r="A153" s="21"/>
      <c r="B153" s="21"/>
      <c r="C153" s="21"/>
      <c r="D153" s="21"/>
      <c r="E153" s="21"/>
      <c r="F153" s="21"/>
      <c r="G153" s="21"/>
      <c r="H153" s="21"/>
      <c r="I153" s="134"/>
      <c r="J153" s="135"/>
      <c r="K153" s="134"/>
      <c r="L153" s="135"/>
      <c r="M153" s="135"/>
      <c r="N153" s="135"/>
      <c r="O153" s="135"/>
      <c r="Q153" s="135"/>
      <c r="R153" s="135"/>
      <c r="S153" s="138"/>
      <c r="T153" s="135"/>
      <c r="U153" s="151"/>
      <c r="V153" s="135"/>
      <c r="W153" s="69"/>
      <c r="X153" s="135"/>
      <c r="Y153" s="151"/>
      <c r="Z153" s="151"/>
      <c r="AA153" s="69"/>
      <c r="AB153" s="151"/>
      <c r="AC153" s="151"/>
      <c r="AD153" s="151"/>
      <c r="AE153" s="69"/>
      <c r="AF153" s="151"/>
      <c r="AG153" s="151"/>
      <c r="AH153" s="69"/>
      <c r="AI153" s="151"/>
      <c r="AJ153" s="151"/>
      <c r="AK153" s="69"/>
      <c r="AL153" s="151"/>
      <c r="AM153" s="151"/>
      <c r="AN153" s="69"/>
      <c r="AO153" s="69"/>
      <c r="AP153" s="69"/>
      <c r="AQ153" s="69"/>
      <c r="AR153" s="69"/>
      <c r="AS153" s="69"/>
      <c r="AT153" s="69"/>
      <c r="AU153" s="69"/>
      <c r="AV153" s="21"/>
    </row>
    <row r="154" spans="1:48" ht="12" x14ac:dyDescent="0.2">
      <c r="A154" s="21"/>
      <c r="B154" s="21"/>
      <c r="C154" s="21"/>
      <c r="D154" s="21"/>
      <c r="E154" s="21"/>
      <c r="F154" s="21"/>
      <c r="G154" s="21"/>
      <c r="H154" s="21"/>
      <c r="I154" s="134"/>
      <c r="J154" s="135"/>
      <c r="K154" s="134"/>
      <c r="L154" s="135"/>
      <c r="M154" s="135"/>
      <c r="N154" s="135"/>
      <c r="O154" s="135"/>
      <c r="Q154" s="135"/>
      <c r="R154" s="135"/>
      <c r="S154" s="138"/>
      <c r="T154" s="135"/>
      <c r="U154" s="151"/>
      <c r="V154" s="135"/>
      <c r="W154" s="69"/>
      <c r="X154" s="135"/>
      <c r="Y154" s="151"/>
      <c r="Z154" s="151"/>
      <c r="AA154" s="69"/>
      <c r="AB154" s="151"/>
      <c r="AC154" s="151"/>
      <c r="AD154" s="151"/>
      <c r="AE154" s="69"/>
      <c r="AF154" s="151"/>
      <c r="AG154" s="151"/>
      <c r="AH154" s="69"/>
      <c r="AI154" s="151"/>
      <c r="AJ154" s="151"/>
      <c r="AK154" s="69"/>
      <c r="AL154" s="151"/>
      <c r="AM154" s="151"/>
      <c r="AN154" s="69"/>
      <c r="AO154" s="69"/>
      <c r="AP154" s="69"/>
      <c r="AQ154" s="69"/>
      <c r="AR154" s="69"/>
      <c r="AS154" s="69"/>
      <c r="AT154" s="69"/>
      <c r="AU154" s="69"/>
      <c r="AV154" s="21"/>
    </row>
    <row r="155" spans="1:48" ht="12" x14ac:dyDescent="0.2">
      <c r="A155" s="21"/>
      <c r="B155" s="21"/>
      <c r="C155" s="21"/>
      <c r="D155" s="21"/>
      <c r="E155" s="21"/>
      <c r="F155" s="21"/>
      <c r="G155" s="21"/>
      <c r="H155" s="21"/>
      <c r="I155" s="134"/>
      <c r="J155" s="135"/>
      <c r="K155" s="134"/>
      <c r="L155" s="135"/>
      <c r="M155" s="135"/>
      <c r="N155" s="135"/>
      <c r="O155" s="135"/>
      <c r="Q155" s="135"/>
      <c r="R155" s="135"/>
      <c r="S155" s="138"/>
      <c r="T155" s="135"/>
      <c r="U155" s="151"/>
      <c r="V155" s="135"/>
      <c r="W155" s="69"/>
      <c r="X155" s="135"/>
      <c r="Y155" s="151"/>
      <c r="Z155" s="151"/>
      <c r="AA155" s="69"/>
      <c r="AB155" s="151"/>
      <c r="AC155" s="151"/>
      <c r="AD155" s="151"/>
      <c r="AE155" s="69"/>
      <c r="AF155" s="151"/>
      <c r="AG155" s="151"/>
      <c r="AH155" s="69"/>
      <c r="AI155" s="151"/>
      <c r="AJ155" s="151"/>
      <c r="AK155" s="69"/>
      <c r="AL155" s="151"/>
      <c r="AM155" s="151"/>
      <c r="AN155" s="69"/>
      <c r="AO155" s="69"/>
      <c r="AP155" s="69"/>
      <c r="AQ155" s="69"/>
      <c r="AR155" s="69"/>
      <c r="AS155" s="69"/>
      <c r="AT155" s="69"/>
      <c r="AU155" s="69"/>
      <c r="AV155" s="21"/>
    </row>
    <row r="156" spans="1:48" ht="12" x14ac:dyDescent="0.2">
      <c r="A156" s="21"/>
      <c r="B156" s="21"/>
      <c r="C156" s="21"/>
      <c r="D156" s="21"/>
      <c r="E156" s="21"/>
      <c r="F156" s="21"/>
      <c r="G156" s="21"/>
      <c r="H156" s="21"/>
      <c r="I156" s="134"/>
      <c r="J156" s="135"/>
      <c r="K156" s="134"/>
      <c r="L156" s="135"/>
      <c r="M156" s="135"/>
      <c r="N156" s="135"/>
      <c r="O156" s="135"/>
      <c r="Q156" s="135"/>
      <c r="R156" s="135"/>
      <c r="S156" s="138"/>
      <c r="T156" s="135"/>
      <c r="U156" s="151"/>
      <c r="V156" s="135"/>
      <c r="W156" s="69"/>
      <c r="X156" s="135"/>
      <c r="Y156" s="151"/>
      <c r="Z156" s="151"/>
      <c r="AA156" s="69"/>
      <c r="AB156" s="151"/>
      <c r="AC156" s="151"/>
      <c r="AD156" s="151"/>
      <c r="AE156" s="69"/>
      <c r="AF156" s="151"/>
      <c r="AG156" s="151"/>
      <c r="AH156" s="69"/>
      <c r="AI156" s="151"/>
      <c r="AJ156" s="151"/>
      <c r="AK156" s="69"/>
      <c r="AL156" s="151"/>
      <c r="AM156" s="151"/>
      <c r="AN156" s="69"/>
      <c r="AO156" s="69"/>
      <c r="AP156" s="69"/>
      <c r="AQ156" s="69"/>
      <c r="AR156" s="69"/>
      <c r="AS156" s="69"/>
      <c r="AT156" s="69"/>
      <c r="AU156" s="69"/>
      <c r="AV156" s="21"/>
    </row>
    <row r="157" spans="1:48" ht="12" x14ac:dyDescent="0.2">
      <c r="A157" s="21"/>
      <c r="B157" s="21"/>
      <c r="C157" s="21"/>
      <c r="D157" s="21"/>
      <c r="E157" s="21"/>
      <c r="F157" s="21"/>
      <c r="G157" s="21"/>
      <c r="H157" s="21"/>
      <c r="I157" s="134"/>
      <c r="J157" s="135"/>
      <c r="K157" s="134"/>
      <c r="L157" s="135"/>
      <c r="M157" s="135"/>
      <c r="N157" s="135"/>
      <c r="O157" s="135"/>
      <c r="Q157" s="135"/>
      <c r="R157" s="135"/>
      <c r="S157" s="138"/>
      <c r="T157" s="135"/>
      <c r="U157" s="151"/>
      <c r="V157" s="135"/>
      <c r="W157" s="69"/>
      <c r="X157" s="135"/>
      <c r="Y157" s="151"/>
      <c r="Z157" s="151"/>
      <c r="AA157" s="69"/>
      <c r="AB157" s="151"/>
      <c r="AC157" s="151"/>
      <c r="AD157" s="151"/>
      <c r="AE157" s="69"/>
      <c r="AF157" s="151"/>
      <c r="AG157" s="151"/>
      <c r="AH157" s="69"/>
      <c r="AI157" s="151"/>
      <c r="AJ157" s="151"/>
      <c r="AK157" s="69"/>
      <c r="AL157" s="151"/>
      <c r="AM157" s="151"/>
      <c r="AN157" s="69"/>
      <c r="AO157" s="69"/>
      <c r="AP157" s="69"/>
      <c r="AQ157" s="69"/>
      <c r="AR157" s="69"/>
      <c r="AS157" s="69"/>
      <c r="AT157" s="69"/>
      <c r="AU157" s="69"/>
      <c r="AV157" s="21"/>
    </row>
    <row r="158" spans="1:48" ht="12" x14ac:dyDescent="0.2">
      <c r="A158" s="21"/>
      <c r="B158" s="21"/>
      <c r="C158" s="21"/>
      <c r="D158" s="21"/>
      <c r="E158" s="21"/>
      <c r="F158" s="21"/>
      <c r="G158" s="21"/>
      <c r="H158" s="21"/>
      <c r="I158" s="134"/>
      <c r="J158" s="135"/>
      <c r="K158" s="134"/>
      <c r="L158" s="135"/>
      <c r="M158" s="135"/>
      <c r="N158" s="135"/>
      <c r="O158" s="135"/>
      <c r="Q158" s="135"/>
      <c r="R158" s="135"/>
      <c r="S158" s="138"/>
      <c r="T158" s="135"/>
      <c r="U158" s="151"/>
      <c r="V158" s="135"/>
      <c r="W158" s="69"/>
      <c r="X158" s="135"/>
      <c r="Y158" s="151"/>
      <c r="Z158" s="151"/>
      <c r="AA158" s="69"/>
      <c r="AB158" s="151"/>
      <c r="AC158" s="151"/>
      <c r="AD158" s="151"/>
      <c r="AE158" s="69"/>
      <c r="AF158" s="151"/>
      <c r="AG158" s="151"/>
      <c r="AH158" s="69"/>
      <c r="AI158" s="151"/>
      <c r="AJ158" s="151"/>
      <c r="AK158" s="69"/>
      <c r="AL158" s="151"/>
      <c r="AM158" s="151"/>
      <c r="AN158" s="69"/>
      <c r="AO158" s="69"/>
      <c r="AP158" s="69"/>
      <c r="AQ158" s="69"/>
      <c r="AR158" s="69"/>
      <c r="AS158" s="69"/>
      <c r="AT158" s="69"/>
      <c r="AU158" s="69"/>
      <c r="AV158" s="21"/>
    </row>
    <row r="159" spans="1:48" ht="12" x14ac:dyDescent="0.2">
      <c r="A159" s="21"/>
      <c r="B159" s="21"/>
      <c r="C159" s="21"/>
      <c r="D159" s="21"/>
      <c r="E159" s="21"/>
      <c r="F159" s="21"/>
      <c r="G159" s="21"/>
      <c r="H159" s="21"/>
      <c r="I159" s="134"/>
      <c r="J159" s="135"/>
      <c r="K159" s="134"/>
      <c r="L159" s="135"/>
      <c r="M159" s="135"/>
      <c r="N159" s="135"/>
      <c r="O159" s="135"/>
      <c r="Q159" s="135"/>
      <c r="R159" s="135"/>
      <c r="S159" s="138"/>
      <c r="T159" s="135"/>
      <c r="U159" s="151"/>
      <c r="V159" s="135"/>
      <c r="W159" s="69"/>
      <c r="X159" s="135"/>
      <c r="Y159" s="151"/>
      <c r="Z159" s="151"/>
      <c r="AA159" s="69"/>
      <c r="AB159" s="151"/>
      <c r="AC159" s="151"/>
      <c r="AD159" s="151"/>
      <c r="AE159" s="69"/>
      <c r="AF159" s="151"/>
      <c r="AG159" s="151"/>
      <c r="AH159" s="69"/>
      <c r="AI159" s="151"/>
      <c r="AJ159" s="151"/>
      <c r="AK159" s="69"/>
      <c r="AL159" s="151"/>
      <c r="AM159" s="151"/>
      <c r="AN159" s="69"/>
      <c r="AO159" s="69"/>
      <c r="AP159" s="69"/>
      <c r="AQ159" s="69"/>
      <c r="AR159" s="69"/>
      <c r="AS159" s="69"/>
      <c r="AT159" s="69"/>
      <c r="AU159" s="69"/>
      <c r="AV159" s="21"/>
    </row>
    <row r="160" spans="1:48" ht="12" x14ac:dyDescent="0.2">
      <c r="A160" s="21"/>
      <c r="B160" s="21"/>
      <c r="C160" s="21"/>
      <c r="D160" s="21"/>
      <c r="E160" s="21"/>
      <c r="F160" s="21"/>
      <c r="G160" s="21"/>
      <c r="H160" s="21"/>
      <c r="I160" s="134"/>
      <c r="J160" s="135"/>
      <c r="K160" s="134"/>
      <c r="L160" s="135"/>
      <c r="M160" s="135"/>
      <c r="N160" s="135"/>
      <c r="O160" s="135"/>
      <c r="Q160" s="135"/>
      <c r="R160" s="135"/>
      <c r="S160" s="138"/>
      <c r="T160" s="135"/>
      <c r="U160" s="151"/>
      <c r="V160" s="135"/>
      <c r="W160" s="69"/>
      <c r="X160" s="135"/>
      <c r="Y160" s="151"/>
      <c r="Z160" s="151"/>
      <c r="AA160" s="69"/>
      <c r="AB160" s="151"/>
      <c r="AC160" s="151"/>
      <c r="AD160" s="151"/>
      <c r="AE160" s="69"/>
      <c r="AF160" s="151"/>
      <c r="AG160" s="151"/>
      <c r="AH160" s="69"/>
      <c r="AI160" s="151"/>
      <c r="AJ160" s="151"/>
      <c r="AK160" s="69"/>
      <c r="AL160" s="151"/>
      <c r="AM160" s="151"/>
      <c r="AN160" s="69"/>
      <c r="AO160" s="69"/>
      <c r="AP160" s="69"/>
      <c r="AQ160" s="69"/>
      <c r="AR160" s="69"/>
      <c r="AS160" s="69"/>
      <c r="AT160" s="69"/>
      <c r="AU160" s="69"/>
      <c r="AV160" s="21"/>
    </row>
    <row r="161" spans="1:48" ht="12" x14ac:dyDescent="0.2">
      <c r="A161" s="21"/>
      <c r="B161" s="21"/>
      <c r="C161" s="21"/>
      <c r="D161" s="21"/>
      <c r="E161" s="21"/>
      <c r="F161" s="21"/>
      <c r="G161" s="21"/>
      <c r="H161" s="21"/>
      <c r="I161" s="134"/>
      <c r="J161" s="135"/>
      <c r="K161" s="134"/>
      <c r="L161" s="135"/>
      <c r="M161" s="135"/>
      <c r="N161" s="135"/>
      <c r="O161" s="135"/>
      <c r="Q161" s="135"/>
      <c r="R161" s="135"/>
      <c r="S161" s="138"/>
      <c r="T161" s="135"/>
      <c r="U161" s="151"/>
      <c r="V161" s="135"/>
      <c r="W161" s="69"/>
      <c r="X161" s="135"/>
      <c r="Y161" s="151"/>
      <c r="Z161" s="151"/>
      <c r="AA161" s="69"/>
      <c r="AB161" s="151"/>
      <c r="AC161" s="151"/>
      <c r="AD161" s="151"/>
      <c r="AE161" s="69"/>
      <c r="AF161" s="151"/>
      <c r="AG161" s="151"/>
      <c r="AH161" s="69"/>
      <c r="AI161" s="151"/>
      <c r="AJ161" s="151"/>
      <c r="AK161" s="69"/>
      <c r="AL161" s="151"/>
      <c r="AM161" s="151"/>
      <c r="AN161" s="69"/>
      <c r="AO161" s="69"/>
      <c r="AP161" s="69"/>
      <c r="AQ161" s="69"/>
      <c r="AR161" s="69"/>
      <c r="AS161" s="69"/>
      <c r="AT161" s="69"/>
      <c r="AU161" s="69"/>
      <c r="AV161" s="21"/>
    </row>
    <row r="162" spans="1:48" ht="12" x14ac:dyDescent="0.2">
      <c r="A162" s="21"/>
      <c r="B162" s="21"/>
      <c r="C162" s="21"/>
      <c r="D162" s="21"/>
      <c r="E162" s="21"/>
      <c r="F162" s="21"/>
      <c r="G162" s="21"/>
      <c r="H162" s="21"/>
      <c r="I162" s="134"/>
      <c r="J162" s="135"/>
      <c r="K162" s="134"/>
      <c r="L162" s="135"/>
      <c r="M162" s="135"/>
      <c r="N162" s="135"/>
      <c r="O162" s="135"/>
      <c r="Q162" s="135"/>
      <c r="R162" s="135"/>
      <c r="S162" s="138"/>
      <c r="T162" s="135"/>
      <c r="U162" s="151"/>
      <c r="V162" s="135"/>
      <c r="W162" s="69"/>
      <c r="X162" s="135"/>
      <c r="Y162" s="151"/>
      <c r="Z162" s="151"/>
      <c r="AA162" s="69"/>
      <c r="AB162" s="151"/>
      <c r="AC162" s="151"/>
      <c r="AD162" s="151"/>
      <c r="AE162" s="69"/>
      <c r="AF162" s="151"/>
      <c r="AG162" s="151"/>
      <c r="AH162" s="69"/>
      <c r="AI162" s="151"/>
      <c r="AJ162" s="151"/>
      <c r="AK162" s="69"/>
      <c r="AL162" s="151"/>
      <c r="AM162" s="151"/>
      <c r="AN162" s="69"/>
      <c r="AO162" s="69"/>
      <c r="AP162" s="69"/>
      <c r="AQ162" s="69"/>
      <c r="AR162" s="69"/>
      <c r="AS162" s="69"/>
      <c r="AT162" s="69"/>
      <c r="AU162" s="69"/>
      <c r="AV162" s="21"/>
    </row>
  </sheetData>
  <mergeCells count="2">
    <mergeCell ref="A4:C4"/>
    <mergeCell ref="A5:G5"/>
  </mergeCells>
  <phoneticPr fontId="3" type="noConversion"/>
  <pageMargins left="0.52" right="0.39" top="0.91" bottom="1" header="0.42" footer="0.5"/>
  <pageSetup scale="65" orientation="landscape" r:id="rId1"/>
  <headerFooter alignWithMargins="0">
    <oddHeader>&amp;L&amp;"Arial,Bold"&amp;12Homeland Security and Emergency Management Division&amp;R&amp;"Arial,Bold"&amp;12 Justice System Appropriations Subcommittee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U166"/>
  <sheetViews>
    <sheetView zoomScale="70" zoomScaleNormal="70" workbookViewId="0">
      <selection activeCell="AY23" sqref="AY23"/>
    </sheetView>
  </sheetViews>
  <sheetFormatPr defaultColWidth="9.140625" defaultRowHeight="12" x14ac:dyDescent="0.2"/>
  <cols>
    <col min="1" max="1" width="12.85546875" style="111" customWidth="1"/>
    <col min="2" max="2" width="0.7109375" style="111" customWidth="1"/>
    <col min="3" max="3" width="17.140625" style="112" customWidth="1"/>
    <col min="4" max="4" width="1.140625" style="111" customWidth="1"/>
    <col min="5" max="5" width="18.28515625" style="113" customWidth="1"/>
    <col min="6" max="6" width="1" style="114" customWidth="1"/>
    <col min="7" max="7" width="31.7109375" style="113" customWidth="1"/>
    <col min="8" max="8" width="1" style="114" customWidth="1"/>
    <col min="9" max="9" width="10.7109375" style="24" customWidth="1"/>
    <col min="10" max="10" width="1.28515625" style="21" customWidth="1"/>
    <col min="11" max="11" width="12.5703125" style="24" customWidth="1"/>
    <col min="12" max="12" width="1" style="21" customWidth="1"/>
    <col min="13" max="13" width="13" style="21" customWidth="1"/>
    <col min="14" max="14" width="0.5703125" style="21" customWidth="1"/>
    <col min="15" max="15" width="8.7109375" style="21" customWidth="1"/>
    <col min="16" max="16" width="22" style="24" bestFit="1" customWidth="1"/>
    <col min="17" max="17" width="10.42578125" style="21" hidden="1" customWidth="1"/>
    <col min="18" max="18" width="0.85546875" style="21" hidden="1" customWidth="1"/>
    <col min="19" max="19" width="14" style="49" hidden="1" customWidth="1"/>
    <col min="20" max="20" width="0.85546875" style="21" hidden="1" customWidth="1"/>
    <col min="21" max="21" width="8.42578125" style="160" hidden="1" customWidth="1"/>
    <col min="22" max="22" width="1.7109375" style="21" hidden="1" customWidth="1"/>
    <col min="23" max="23" width="9.28515625" style="160" hidden="1" customWidth="1"/>
    <col min="24" max="24" width="10.42578125" style="160" hidden="1" customWidth="1"/>
    <col min="25" max="25" width="0.85546875" style="160" hidden="1" customWidth="1"/>
    <col min="26" max="26" width="14" style="248" hidden="1" customWidth="1"/>
    <col min="27" max="27" width="0.85546875" style="160" hidden="1" customWidth="1"/>
    <col min="28" max="28" width="8.42578125" style="160" hidden="1" customWidth="1"/>
    <col min="29" max="29" width="1.7109375" style="160" hidden="1" customWidth="1"/>
    <col min="30" max="30" width="9.28515625" style="160" hidden="1" customWidth="1"/>
    <col min="31" max="31" width="10" style="160" hidden="1" customWidth="1"/>
    <col min="32" max="32" width="1.7109375" style="160" hidden="1" customWidth="1"/>
    <col min="33" max="33" width="9.28515625" style="160" hidden="1" customWidth="1"/>
    <col min="34" max="34" width="10" style="160" customWidth="1"/>
    <col min="35" max="35" width="6.5703125" style="160" hidden="1" customWidth="1"/>
    <col min="36" max="36" width="10.28515625" style="160" bestFit="1" customWidth="1"/>
    <col min="37" max="37" width="11.42578125" style="160" bestFit="1" customWidth="1"/>
    <col min="38" max="38" width="6.28515625" style="160" hidden="1" customWidth="1"/>
    <col min="39" max="39" width="10.28515625" style="160" bestFit="1" customWidth="1"/>
    <col min="40" max="40" width="1.140625" style="21" customWidth="1"/>
    <col min="41" max="42" width="12.140625" style="21" customWidth="1"/>
    <col min="43" max="43" width="1.7109375" style="21" customWidth="1"/>
    <col min="44" max="45" width="12.140625" style="21" customWidth="1"/>
    <col min="46" max="46" width="1" style="21" customWidth="1"/>
    <col min="47" max="47" width="31.140625" style="21" bestFit="1" customWidth="1"/>
    <col min="48" max="48" width="1" style="21" customWidth="1"/>
    <col min="49" max="49" width="52.85546875" style="21" customWidth="1"/>
    <col min="50" max="276" width="9.140625" style="21"/>
    <col min="277" max="277" width="2.140625" style="21" customWidth="1"/>
    <col min="278" max="278" width="14" style="21" customWidth="1"/>
    <col min="279" max="279" width="0.7109375" style="21" customWidth="1"/>
    <col min="280" max="280" width="17.140625" style="21" customWidth="1"/>
    <col min="281" max="281" width="1.140625" style="21" customWidth="1"/>
    <col min="282" max="282" width="18.28515625" style="21" customWidth="1"/>
    <col min="283" max="283" width="1" style="21" customWidth="1"/>
    <col min="284" max="284" width="39.7109375" style="21" customWidth="1"/>
    <col min="285" max="285" width="1" style="21" customWidth="1"/>
    <col min="286" max="286" width="12.7109375" style="21" customWidth="1"/>
    <col min="287" max="287" width="1.28515625" style="21" customWidth="1"/>
    <col min="288" max="288" width="11.42578125" style="21" customWidth="1"/>
    <col min="289" max="289" width="1" style="21" customWidth="1"/>
    <col min="290" max="290" width="10.42578125" style="21" customWidth="1"/>
    <col min="291" max="291" width="0.85546875" style="21" customWidth="1"/>
    <col min="292" max="292" width="14" style="21" customWidth="1"/>
    <col min="293" max="293" width="0.85546875" style="21" customWidth="1"/>
    <col min="294" max="294" width="8.42578125" style="21" customWidth="1"/>
    <col min="295" max="295" width="1.7109375" style="21" customWidth="1"/>
    <col min="296" max="296" width="9.28515625" style="21" customWidth="1"/>
    <col min="297" max="297" width="16" style="21" customWidth="1"/>
    <col min="298" max="298" width="0.5703125" style="21" customWidth="1"/>
    <col min="299" max="299" width="9.42578125" style="21" bestFit="1" customWidth="1"/>
    <col min="300" max="300" width="1.140625" style="21" customWidth="1"/>
    <col min="301" max="532" width="9.140625" style="21"/>
    <col min="533" max="533" width="2.140625" style="21" customWidth="1"/>
    <col min="534" max="534" width="14" style="21" customWidth="1"/>
    <col min="535" max="535" width="0.7109375" style="21" customWidth="1"/>
    <col min="536" max="536" width="17.140625" style="21" customWidth="1"/>
    <col min="537" max="537" width="1.140625" style="21" customWidth="1"/>
    <col min="538" max="538" width="18.28515625" style="21" customWidth="1"/>
    <col min="539" max="539" width="1" style="21" customWidth="1"/>
    <col min="540" max="540" width="39.7109375" style="21" customWidth="1"/>
    <col min="541" max="541" width="1" style="21" customWidth="1"/>
    <col min="542" max="542" width="12.7109375" style="21" customWidth="1"/>
    <col min="543" max="543" width="1.28515625" style="21" customWidth="1"/>
    <col min="544" max="544" width="11.42578125" style="21" customWidth="1"/>
    <col min="545" max="545" width="1" style="21" customWidth="1"/>
    <col min="546" max="546" width="10.42578125" style="21" customWidth="1"/>
    <col min="547" max="547" width="0.85546875" style="21" customWidth="1"/>
    <col min="548" max="548" width="14" style="21" customWidth="1"/>
    <col min="549" max="549" width="0.85546875" style="21" customWidth="1"/>
    <col min="550" max="550" width="8.42578125" style="21" customWidth="1"/>
    <col min="551" max="551" width="1.7109375" style="21" customWidth="1"/>
    <col min="552" max="552" width="9.28515625" style="21" customWidth="1"/>
    <col min="553" max="553" width="16" style="21" customWidth="1"/>
    <col min="554" max="554" width="0.5703125" style="21" customWidth="1"/>
    <col min="555" max="555" width="9.42578125" style="21" bestFit="1" customWidth="1"/>
    <col min="556" max="556" width="1.140625" style="21" customWidth="1"/>
    <col min="557" max="788" width="9.140625" style="21"/>
    <col min="789" max="789" width="2.140625" style="21" customWidth="1"/>
    <col min="790" max="790" width="14" style="21" customWidth="1"/>
    <col min="791" max="791" width="0.7109375" style="21" customWidth="1"/>
    <col min="792" max="792" width="17.140625" style="21" customWidth="1"/>
    <col min="793" max="793" width="1.140625" style="21" customWidth="1"/>
    <col min="794" max="794" width="18.28515625" style="21" customWidth="1"/>
    <col min="795" max="795" width="1" style="21" customWidth="1"/>
    <col min="796" max="796" width="39.7109375" style="21" customWidth="1"/>
    <col min="797" max="797" width="1" style="21" customWidth="1"/>
    <col min="798" max="798" width="12.7109375" style="21" customWidth="1"/>
    <col min="799" max="799" width="1.28515625" style="21" customWidth="1"/>
    <col min="800" max="800" width="11.42578125" style="21" customWidth="1"/>
    <col min="801" max="801" width="1" style="21" customWidth="1"/>
    <col min="802" max="802" width="10.42578125" style="21" customWidth="1"/>
    <col min="803" max="803" width="0.85546875" style="21" customWidth="1"/>
    <col min="804" max="804" width="14" style="21" customWidth="1"/>
    <col min="805" max="805" width="0.85546875" style="21" customWidth="1"/>
    <col min="806" max="806" width="8.42578125" style="21" customWidth="1"/>
    <col min="807" max="807" width="1.7109375" style="21" customWidth="1"/>
    <col min="808" max="808" width="9.28515625" style="21" customWidth="1"/>
    <col min="809" max="809" width="16" style="21" customWidth="1"/>
    <col min="810" max="810" width="0.5703125" style="21" customWidth="1"/>
    <col min="811" max="811" width="9.42578125" style="21" bestFit="1" customWidth="1"/>
    <col min="812" max="812" width="1.140625" style="21" customWidth="1"/>
    <col min="813" max="1044" width="9.140625" style="21"/>
    <col min="1045" max="1045" width="2.140625" style="21" customWidth="1"/>
    <col min="1046" max="1046" width="14" style="21" customWidth="1"/>
    <col min="1047" max="1047" width="0.7109375" style="21" customWidth="1"/>
    <col min="1048" max="1048" width="17.140625" style="21" customWidth="1"/>
    <col min="1049" max="1049" width="1.140625" style="21" customWidth="1"/>
    <col min="1050" max="1050" width="18.28515625" style="21" customWidth="1"/>
    <col min="1051" max="1051" width="1" style="21" customWidth="1"/>
    <col min="1052" max="1052" width="39.7109375" style="21" customWidth="1"/>
    <col min="1053" max="1053" width="1" style="21" customWidth="1"/>
    <col min="1054" max="1054" width="12.7109375" style="21" customWidth="1"/>
    <col min="1055" max="1055" width="1.28515625" style="21" customWidth="1"/>
    <col min="1056" max="1056" width="11.42578125" style="21" customWidth="1"/>
    <col min="1057" max="1057" width="1" style="21" customWidth="1"/>
    <col min="1058" max="1058" width="10.42578125" style="21" customWidth="1"/>
    <col min="1059" max="1059" width="0.85546875" style="21" customWidth="1"/>
    <col min="1060" max="1060" width="14" style="21" customWidth="1"/>
    <col min="1061" max="1061" width="0.85546875" style="21" customWidth="1"/>
    <col min="1062" max="1062" width="8.42578125" style="21" customWidth="1"/>
    <col min="1063" max="1063" width="1.7109375" style="21" customWidth="1"/>
    <col min="1064" max="1064" width="9.28515625" style="21" customWidth="1"/>
    <col min="1065" max="1065" width="16" style="21" customWidth="1"/>
    <col min="1066" max="1066" width="0.5703125" style="21" customWidth="1"/>
    <col min="1067" max="1067" width="9.42578125" style="21" bestFit="1" customWidth="1"/>
    <col min="1068" max="1068" width="1.140625" style="21" customWidth="1"/>
    <col min="1069" max="1300" width="9.140625" style="21"/>
    <col min="1301" max="1301" width="2.140625" style="21" customWidth="1"/>
    <col min="1302" max="1302" width="14" style="21" customWidth="1"/>
    <col min="1303" max="1303" width="0.7109375" style="21" customWidth="1"/>
    <col min="1304" max="1304" width="17.140625" style="21" customWidth="1"/>
    <col min="1305" max="1305" width="1.140625" style="21" customWidth="1"/>
    <col min="1306" max="1306" width="18.28515625" style="21" customWidth="1"/>
    <col min="1307" max="1307" width="1" style="21" customWidth="1"/>
    <col min="1308" max="1308" width="39.7109375" style="21" customWidth="1"/>
    <col min="1309" max="1309" width="1" style="21" customWidth="1"/>
    <col min="1310" max="1310" width="12.7109375" style="21" customWidth="1"/>
    <col min="1311" max="1311" width="1.28515625" style="21" customWidth="1"/>
    <col min="1312" max="1312" width="11.42578125" style="21" customWidth="1"/>
    <col min="1313" max="1313" width="1" style="21" customWidth="1"/>
    <col min="1314" max="1314" width="10.42578125" style="21" customWidth="1"/>
    <col min="1315" max="1315" width="0.85546875" style="21" customWidth="1"/>
    <col min="1316" max="1316" width="14" style="21" customWidth="1"/>
    <col min="1317" max="1317" width="0.85546875" style="21" customWidth="1"/>
    <col min="1318" max="1318" width="8.42578125" style="21" customWidth="1"/>
    <col min="1319" max="1319" width="1.7109375" style="21" customWidth="1"/>
    <col min="1320" max="1320" width="9.28515625" style="21" customWidth="1"/>
    <col min="1321" max="1321" width="16" style="21" customWidth="1"/>
    <col min="1322" max="1322" width="0.5703125" style="21" customWidth="1"/>
    <col min="1323" max="1323" width="9.42578125" style="21" bestFit="1" customWidth="1"/>
    <col min="1324" max="1324" width="1.140625" style="21" customWidth="1"/>
    <col min="1325" max="1556" width="9.140625" style="21"/>
    <col min="1557" max="1557" width="2.140625" style="21" customWidth="1"/>
    <col min="1558" max="1558" width="14" style="21" customWidth="1"/>
    <col min="1559" max="1559" width="0.7109375" style="21" customWidth="1"/>
    <col min="1560" max="1560" width="17.140625" style="21" customWidth="1"/>
    <col min="1561" max="1561" width="1.140625" style="21" customWidth="1"/>
    <col min="1562" max="1562" width="18.28515625" style="21" customWidth="1"/>
    <col min="1563" max="1563" width="1" style="21" customWidth="1"/>
    <col min="1564" max="1564" width="39.7109375" style="21" customWidth="1"/>
    <col min="1565" max="1565" width="1" style="21" customWidth="1"/>
    <col min="1566" max="1566" width="12.7109375" style="21" customWidth="1"/>
    <col min="1567" max="1567" width="1.28515625" style="21" customWidth="1"/>
    <col min="1568" max="1568" width="11.42578125" style="21" customWidth="1"/>
    <col min="1569" max="1569" width="1" style="21" customWidth="1"/>
    <col min="1570" max="1570" width="10.42578125" style="21" customWidth="1"/>
    <col min="1571" max="1571" width="0.85546875" style="21" customWidth="1"/>
    <col min="1572" max="1572" width="14" style="21" customWidth="1"/>
    <col min="1573" max="1573" width="0.85546875" style="21" customWidth="1"/>
    <col min="1574" max="1574" width="8.42578125" style="21" customWidth="1"/>
    <col min="1575" max="1575" width="1.7109375" style="21" customWidth="1"/>
    <col min="1576" max="1576" width="9.28515625" style="21" customWidth="1"/>
    <col min="1577" max="1577" width="16" style="21" customWidth="1"/>
    <col min="1578" max="1578" width="0.5703125" style="21" customWidth="1"/>
    <col min="1579" max="1579" width="9.42578125" style="21" bestFit="1" customWidth="1"/>
    <col min="1580" max="1580" width="1.140625" style="21" customWidth="1"/>
    <col min="1581" max="1812" width="9.140625" style="21"/>
    <col min="1813" max="1813" width="2.140625" style="21" customWidth="1"/>
    <col min="1814" max="1814" width="14" style="21" customWidth="1"/>
    <col min="1815" max="1815" width="0.7109375" style="21" customWidth="1"/>
    <col min="1816" max="1816" width="17.140625" style="21" customWidth="1"/>
    <col min="1817" max="1817" width="1.140625" style="21" customWidth="1"/>
    <col min="1818" max="1818" width="18.28515625" style="21" customWidth="1"/>
    <col min="1819" max="1819" width="1" style="21" customWidth="1"/>
    <col min="1820" max="1820" width="39.7109375" style="21" customWidth="1"/>
    <col min="1821" max="1821" width="1" style="21" customWidth="1"/>
    <col min="1822" max="1822" width="12.7109375" style="21" customWidth="1"/>
    <col min="1823" max="1823" width="1.28515625" style="21" customWidth="1"/>
    <col min="1824" max="1824" width="11.42578125" style="21" customWidth="1"/>
    <col min="1825" max="1825" width="1" style="21" customWidth="1"/>
    <col min="1826" max="1826" width="10.42578125" style="21" customWidth="1"/>
    <col min="1827" max="1827" width="0.85546875" style="21" customWidth="1"/>
    <col min="1828" max="1828" width="14" style="21" customWidth="1"/>
    <col min="1829" max="1829" width="0.85546875" style="21" customWidth="1"/>
    <col min="1830" max="1830" width="8.42578125" style="21" customWidth="1"/>
    <col min="1831" max="1831" width="1.7109375" style="21" customWidth="1"/>
    <col min="1832" max="1832" width="9.28515625" style="21" customWidth="1"/>
    <col min="1833" max="1833" width="16" style="21" customWidth="1"/>
    <col min="1834" max="1834" width="0.5703125" style="21" customWidth="1"/>
    <col min="1835" max="1835" width="9.42578125" style="21" bestFit="1" customWidth="1"/>
    <col min="1836" max="1836" width="1.140625" style="21" customWidth="1"/>
    <col min="1837" max="2068" width="9.140625" style="21"/>
    <col min="2069" max="2069" width="2.140625" style="21" customWidth="1"/>
    <col min="2070" max="2070" width="14" style="21" customWidth="1"/>
    <col min="2071" max="2071" width="0.7109375" style="21" customWidth="1"/>
    <col min="2072" max="2072" width="17.140625" style="21" customWidth="1"/>
    <col min="2073" max="2073" width="1.140625" style="21" customWidth="1"/>
    <col min="2074" max="2074" width="18.28515625" style="21" customWidth="1"/>
    <col min="2075" max="2075" width="1" style="21" customWidth="1"/>
    <col min="2076" max="2076" width="39.7109375" style="21" customWidth="1"/>
    <col min="2077" max="2077" width="1" style="21" customWidth="1"/>
    <col min="2078" max="2078" width="12.7109375" style="21" customWidth="1"/>
    <col min="2079" max="2079" width="1.28515625" style="21" customWidth="1"/>
    <col min="2080" max="2080" width="11.42578125" style="21" customWidth="1"/>
    <col min="2081" max="2081" width="1" style="21" customWidth="1"/>
    <col min="2082" max="2082" width="10.42578125" style="21" customWidth="1"/>
    <col min="2083" max="2083" width="0.85546875" style="21" customWidth="1"/>
    <col min="2084" max="2084" width="14" style="21" customWidth="1"/>
    <col min="2085" max="2085" width="0.85546875" style="21" customWidth="1"/>
    <col min="2086" max="2086" width="8.42578125" style="21" customWidth="1"/>
    <col min="2087" max="2087" width="1.7109375" style="21" customWidth="1"/>
    <col min="2088" max="2088" width="9.28515625" style="21" customWidth="1"/>
    <col min="2089" max="2089" width="16" style="21" customWidth="1"/>
    <col min="2090" max="2090" width="0.5703125" style="21" customWidth="1"/>
    <col min="2091" max="2091" width="9.42578125" style="21" bestFit="1" customWidth="1"/>
    <col min="2092" max="2092" width="1.140625" style="21" customWidth="1"/>
    <col min="2093" max="2324" width="9.140625" style="21"/>
    <col min="2325" max="2325" width="2.140625" style="21" customWidth="1"/>
    <col min="2326" max="2326" width="14" style="21" customWidth="1"/>
    <col min="2327" max="2327" width="0.7109375" style="21" customWidth="1"/>
    <col min="2328" max="2328" width="17.140625" style="21" customWidth="1"/>
    <col min="2329" max="2329" width="1.140625" style="21" customWidth="1"/>
    <col min="2330" max="2330" width="18.28515625" style="21" customWidth="1"/>
    <col min="2331" max="2331" width="1" style="21" customWidth="1"/>
    <col min="2332" max="2332" width="39.7109375" style="21" customWidth="1"/>
    <col min="2333" max="2333" width="1" style="21" customWidth="1"/>
    <col min="2334" max="2334" width="12.7109375" style="21" customWidth="1"/>
    <col min="2335" max="2335" width="1.28515625" style="21" customWidth="1"/>
    <col min="2336" max="2336" width="11.42578125" style="21" customWidth="1"/>
    <col min="2337" max="2337" width="1" style="21" customWidth="1"/>
    <col min="2338" max="2338" width="10.42578125" style="21" customWidth="1"/>
    <col min="2339" max="2339" width="0.85546875" style="21" customWidth="1"/>
    <col min="2340" max="2340" width="14" style="21" customWidth="1"/>
    <col min="2341" max="2341" width="0.85546875" style="21" customWidth="1"/>
    <col min="2342" max="2342" width="8.42578125" style="21" customWidth="1"/>
    <col min="2343" max="2343" width="1.7109375" style="21" customWidth="1"/>
    <col min="2344" max="2344" width="9.28515625" style="21" customWidth="1"/>
    <col min="2345" max="2345" width="16" style="21" customWidth="1"/>
    <col min="2346" max="2346" width="0.5703125" style="21" customWidth="1"/>
    <col min="2347" max="2347" width="9.42578125" style="21" bestFit="1" customWidth="1"/>
    <col min="2348" max="2348" width="1.140625" style="21" customWidth="1"/>
    <col min="2349" max="2580" width="9.140625" style="21"/>
    <col min="2581" max="2581" width="2.140625" style="21" customWidth="1"/>
    <col min="2582" max="2582" width="14" style="21" customWidth="1"/>
    <col min="2583" max="2583" width="0.7109375" style="21" customWidth="1"/>
    <col min="2584" max="2584" width="17.140625" style="21" customWidth="1"/>
    <col min="2585" max="2585" width="1.140625" style="21" customWidth="1"/>
    <col min="2586" max="2586" width="18.28515625" style="21" customWidth="1"/>
    <col min="2587" max="2587" width="1" style="21" customWidth="1"/>
    <col min="2588" max="2588" width="39.7109375" style="21" customWidth="1"/>
    <col min="2589" max="2589" width="1" style="21" customWidth="1"/>
    <col min="2590" max="2590" width="12.7109375" style="21" customWidth="1"/>
    <col min="2591" max="2591" width="1.28515625" style="21" customWidth="1"/>
    <col min="2592" max="2592" width="11.42578125" style="21" customWidth="1"/>
    <col min="2593" max="2593" width="1" style="21" customWidth="1"/>
    <col min="2594" max="2594" width="10.42578125" style="21" customWidth="1"/>
    <col min="2595" max="2595" width="0.85546875" style="21" customWidth="1"/>
    <col min="2596" max="2596" width="14" style="21" customWidth="1"/>
    <col min="2597" max="2597" width="0.85546875" style="21" customWidth="1"/>
    <col min="2598" max="2598" width="8.42578125" style="21" customWidth="1"/>
    <col min="2599" max="2599" width="1.7109375" style="21" customWidth="1"/>
    <col min="2600" max="2600" width="9.28515625" style="21" customWidth="1"/>
    <col min="2601" max="2601" width="16" style="21" customWidth="1"/>
    <col min="2602" max="2602" width="0.5703125" style="21" customWidth="1"/>
    <col min="2603" max="2603" width="9.42578125" style="21" bestFit="1" customWidth="1"/>
    <col min="2604" max="2604" width="1.140625" style="21" customWidth="1"/>
    <col min="2605" max="2836" width="9.140625" style="21"/>
    <col min="2837" max="2837" width="2.140625" style="21" customWidth="1"/>
    <col min="2838" max="2838" width="14" style="21" customWidth="1"/>
    <col min="2839" max="2839" width="0.7109375" style="21" customWidth="1"/>
    <col min="2840" max="2840" width="17.140625" style="21" customWidth="1"/>
    <col min="2841" max="2841" width="1.140625" style="21" customWidth="1"/>
    <col min="2842" max="2842" width="18.28515625" style="21" customWidth="1"/>
    <col min="2843" max="2843" width="1" style="21" customWidth="1"/>
    <col min="2844" max="2844" width="39.7109375" style="21" customWidth="1"/>
    <col min="2845" max="2845" width="1" style="21" customWidth="1"/>
    <col min="2846" max="2846" width="12.7109375" style="21" customWidth="1"/>
    <col min="2847" max="2847" width="1.28515625" style="21" customWidth="1"/>
    <col min="2848" max="2848" width="11.42578125" style="21" customWidth="1"/>
    <col min="2849" max="2849" width="1" style="21" customWidth="1"/>
    <col min="2850" max="2850" width="10.42578125" style="21" customWidth="1"/>
    <col min="2851" max="2851" width="0.85546875" style="21" customWidth="1"/>
    <col min="2852" max="2852" width="14" style="21" customWidth="1"/>
    <col min="2853" max="2853" width="0.85546875" style="21" customWidth="1"/>
    <col min="2854" max="2854" width="8.42578125" style="21" customWidth="1"/>
    <col min="2855" max="2855" width="1.7109375" style="21" customWidth="1"/>
    <col min="2856" max="2856" width="9.28515625" style="21" customWidth="1"/>
    <col min="2857" max="2857" width="16" style="21" customWidth="1"/>
    <col min="2858" max="2858" width="0.5703125" style="21" customWidth="1"/>
    <col min="2859" max="2859" width="9.42578125" style="21" bestFit="1" customWidth="1"/>
    <col min="2860" max="2860" width="1.140625" style="21" customWidth="1"/>
    <col min="2861" max="3092" width="9.140625" style="21"/>
    <col min="3093" max="3093" width="2.140625" style="21" customWidth="1"/>
    <col min="3094" max="3094" width="14" style="21" customWidth="1"/>
    <col min="3095" max="3095" width="0.7109375" style="21" customWidth="1"/>
    <col min="3096" max="3096" width="17.140625" style="21" customWidth="1"/>
    <col min="3097" max="3097" width="1.140625" style="21" customWidth="1"/>
    <col min="3098" max="3098" width="18.28515625" style="21" customWidth="1"/>
    <col min="3099" max="3099" width="1" style="21" customWidth="1"/>
    <col min="3100" max="3100" width="39.7109375" style="21" customWidth="1"/>
    <col min="3101" max="3101" width="1" style="21" customWidth="1"/>
    <col min="3102" max="3102" width="12.7109375" style="21" customWidth="1"/>
    <col min="3103" max="3103" width="1.28515625" style="21" customWidth="1"/>
    <col min="3104" max="3104" width="11.42578125" style="21" customWidth="1"/>
    <col min="3105" max="3105" width="1" style="21" customWidth="1"/>
    <col min="3106" max="3106" width="10.42578125" style="21" customWidth="1"/>
    <col min="3107" max="3107" width="0.85546875" style="21" customWidth="1"/>
    <col min="3108" max="3108" width="14" style="21" customWidth="1"/>
    <col min="3109" max="3109" width="0.85546875" style="21" customWidth="1"/>
    <col min="3110" max="3110" width="8.42578125" style="21" customWidth="1"/>
    <col min="3111" max="3111" width="1.7109375" style="21" customWidth="1"/>
    <col min="3112" max="3112" width="9.28515625" style="21" customWidth="1"/>
    <col min="3113" max="3113" width="16" style="21" customWidth="1"/>
    <col min="3114" max="3114" width="0.5703125" style="21" customWidth="1"/>
    <col min="3115" max="3115" width="9.42578125" style="21" bestFit="1" customWidth="1"/>
    <col min="3116" max="3116" width="1.140625" style="21" customWidth="1"/>
    <col min="3117" max="3348" width="9.140625" style="21"/>
    <col min="3349" max="3349" width="2.140625" style="21" customWidth="1"/>
    <col min="3350" max="3350" width="14" style="21" customWidth="1"/>
    <col min="3351" max="3351" width="0.7109375" style="21" customWidth="1"/>
    <col min="3352" max="3352" width="17.140625" style="21" customWidth="1"/>
    <col min="3353" max="3353" width="1.140625" style="21" customWidth="1"/>
    <col min="3354" max="3354" width="18.28515625" style="21" customWidth="1"/>
    <col min="3355" max="3355" width="1" style="21" customWidth="1"/>
    <col min="3356" max="3356" width="39.7109375" style="21" customWidth="1"/>
    <col min="3357" max="3357" width="1" style="21" customWidth="1"/>
    <col min="3358" max="3358" width="12.7109375" style="21" customWidth="1"/>
    <col min="3359" max="3359" width="1.28515625" style="21" customWidth="1"/>
    <col min="3360" max="3360" width="11.42578125" style="21" customWidth="1"/>
    <col min="3361" max="3361" width="1" style="21" customWidth="1"/>
    <col min="3362" max="3362" width="10.42578125" style="21" customWidth="1"/>
    <col min="3363" max="3363" width="0.85546875" style="21" customWidth="1"/>
    <col min="3364" max="3364" width="14" style="21" customWidth="1"/>
    <col min="3365" max="3365" width="0.85546875" style="21" customWidth="1"/>
    <col min="3366" max="3366" width="8.42578125" style="21" customWidth="1"/>
    <col min="3367" max="3367" width="1.7109375" style="21" customWidth="1"/>
    <col min="3368" max="3368" width="9.28515625" style="21" customWidth="1"/>
    <col min="3369" max="3369" width="16" style="21" customWidth="1"/>
    <col min="3370" max="3370" width="0.5703125" style="21" customWidth="1"/>
    <col min="3371" max="3371" width="9.42578125" style="21" bestFit="1" customWidth="1"/>
    <col min="3372" max="3372" width="1.140625" style="21" customWidth="1"/>
    <col min="3373" max="3604" width="9.140625" style="21"/>
    <col min="3605" max="3605" width="2.140625" style="21" customWidth="1"/>
    <col min="3606" max="3606" width="14" style="21" customWidth="1"/>
    <col min="3607" max="3607" width="0.7109375" style="21" customWidth="1"/>
    <col min="3608" max="3608" width="17.140625" style="21" customWidth="1"/>
    <col min="3609" max="3609" width="1.140625" style="21" customWidth="1"/>
    <col min="3610" max="3610" width="18.28515625" style="21" customWidth="1"/>
    <col min="3611" max="3611" width="1" style="21" customWidth="1"/>
    <col min="3612" max="3612" width="39.7109375" style="21" customWidth="1"/>
    <col min="3613" max="3613" width="1" style="21" customWidth="1"/>
    <col min="3614" max="3614" width="12.7109375" style="21" customWidth="1"/>
    <col min="3615" max="3615" width="1.28515625" style="21" customWidth="1"/>
    <col min="3616" max="3616" width="11.42578125" style="21" customWidth="1"/>
    <col min="3617" max="3617" width="1" style="21" customWidth="1"/>
    <col min="3618" max="3618" width="10.42578125" style="21" customWidth="1"/>
    <col min="3619" max="3619" width="0.85546875" style="21" customWidth="1"/>
    <col min="3620" max="3620" width="14" style="21" customWidth="1"/>
    <col min="3621" max="3621" width="0.85546875" style="21" customWidth="1"/>
    <col min="3622" max="3622" width="8.42578125" style="21" customWidth="1"/>
    <col min="3623" max="3623" width="1.7109375" style="21" customWidth="1"/>
    <col min="3624" max="3624" width="9.28515625" style="21" customWidth="1"/>
    <col min="3625" max="3625" width="16" style="21" customWidth="1"/>
    <col min="3626" max="3626" width="0.5703125" style="21" customWidth="1"/>
    <col min="3627" max="3627" width="9.42578125" style="21" bestFit="1" customWidth="1"/>
    <col min="3628" max="3628" width="1.140625" style="21" customWidth="1"/>
    <col min="3629" max="3860" width="9.140625" style="21"/>
    <col min="3861" max="3861" width="2.140625" style="21" customWidth="1"/>
    <col min="3862" max="3862" width="14" style="21" customWidth="1"/>
    <col min="3863" max="3863" width="0.7109375" style="21" customWidth="1"/>
    <col min="3864" max="3864" width="17.140625" style="21" customWidth="1"/>
    <col min="3865" max="3865" width="1.140625" style="21" customWidth="1"/>
    <col min="3866" max="3866" width="18.28515625" style="21" customWidth="1"/>
    <col min="3867" max="3867" width="1" style="21" customWidth="1"/>
    <col min="3868" max="3868" width="39.7109375" style="21" customWidth="1"/>
    <col min="3869" max="3869" width="1" style="21" customWidth="1"/>
    <col min="3870" max="3870" width="12.7109375" style="21" customWidth="1"/>
    <col min="3871" max="3871" width="1.28515625" style="21" customWidth="1"/>
    <col min="3872" max="3872" width="11.42578125" style="21" customWidth="1"/>
    <col min="3873" max="3873" width="1" style="21" customWidth="1"/>
    <col min="3874" max="3874" width="10.42578125" style="21" customWidth="1"/>
    <col min="3875" max="3875" width="0.85546875" style="21" customWidth="1"/>
    <col min="3876" max="3876" width="14" style="21" customWidth="1"/>
    <col min="3877" max="3877" width="0.85546875" style="21" customWidth="1"/>
    <col min="3878" max="3878" width="8.42578125" style="21" customWidth="1"/>
    <col min="3879" max="3879" width="1.7109375" style="21" customWidth="1"/>
    <col min="3880" max="3880" width="9.28515625" style="21" customWidth="1"/>
    <col min="3881" max="3881" width="16" style="21" customWidth="1"/>
    <col min="3882" max="3882" width="0.5703125" style="21" customWidth="1"/>
    <col min="3883" max="3883" width="9.42578125" style="21" bestFit="1" customWidth="1"/>
    <col min="3884" max="3884" width="1.140625" style="21" customWidth="1"/>
    <col min="3885" max="4116" width="9.140625" style="21"/>
    <col min="4117" max="4117" width="2.140625" style="21" customWidth="1"/>
    <col min="4118" max="4118" width="14" style="21" customWidth="1"/>
    <col min="4119" max="4119" width="0.7109375" style="21" customWidth="1"/>
    <col min="4120" max="4120" width="17.140625" style="21" customWidth="1"/>
    <col min="4121" max="4121" width="1.140625" style="21" customWidth="1"/>
    <col min="4122" max="4122" width="18.28515625" style="21" customWidth="1"/>
    <col min="4123" max="4123" width="1" style="21" customWidth="1"/>
    <col min="4124" max="4124" width="39.7109375" style="21" customWidth="1"/>
    <col min="4125" max="4125" width="1" style="21" customWidth="1"/>
    <col min="4126" max="4126" width="12.7109375" style="21" customWidth="1"/>
    <col min="4127" max="4127" width="1.28515625" style="21" customWidth="1"/>
    <col min="4128" max="4128" width="11.42578125" style="21" customWidth="1"/>
    <col min="4129" max="4129" width="1" style="21" customWidth="1"/>
    <col min="4130" max="4130" width="10.42578125" style="21" customWidth="1"/>
    <col min="4131" max="4131" width="0.85546875" style="21" customWidth="1"/>
    <col min="4132" max="4132" width="14" style="21" customWidth="1"/>
    <col min="4133" max="4133" width="0.85546875" style="21" customWidth="1"/>
    <col min="4134" max="4134" width="8.42578125" style="21" customWidth="1"/>
    <col min="4135" max="4135" width="1.7109375" style="21" customWidth="1"/>
    <col min="4136" max="4136" width="9.28515625" style="21" customWidth="1"/>
    <col min="4137" max="4137" width="16" style="21" customWidth="1"/>
    <col min="4138" max="4138" width="0.5703125" style="21" customWidth="1"/>
    <col min="4139" max="4139" width="9.42578125" style="21" bestFit="1" customWidth="1"/>
    <col min="4140" max="4140" width="1.140625" style="21" customWidth="1"/>
    <col min="4141" max="4372" width="9.140625" style="21"/>
    <col min="4373" max="4373" width="2.140625" style="21" customWidth="1"/>
    <col min="4374" max="4374" width="14" style="21" customWidth="1"/>
    <col min="4375" max="4375" width="0.7109375" style="21" customWidth="1"/>
    <col min="4376" max="4376" width="17.140625" style="21" customWidth="1"/>
    <col min="4377" max="4377" width="1.140625" style="21" customWidth="1"/>
    <col min="4378" max="4378" width="18.28515625" style="21" customWidth="1"/>
    <col min="4379" max="4379" width="1" style="21" customWidth="1"/>
    <col min="4380" max="4380" width="39.7109375" style="21" customWidth="1"/>
    <col min="4381" max="4381" width="1" style="21" customWidth="1"/>
    <col min="4382" max="4382" width="12.7109375" style="21" customWidth="1"/>
    <col min="4383" max="4383" width="1.28515625" style="21" customWidth="1"/>
    <col min="4384" max="4384" width="11.42578125" style="21" customWidth="1"/>
    <col min="4385" max="4385" width="1" style="21" customWidth="1"/>
    <col min="4386" max="4386" width="10.42578125" style="21" customWidth="1"/>
    <col min="4387" max="4387" width="0.85546875" style="21" customWidth="1"/>
    <col min="4388" max="4388" width="14" style="21" customWidth="1"/>
    <col min="4389" max="4389" width="0.85546875" style="21" customWidth="1"/>
    <col min="4390" max="4390" width="8.42578125" style="21" customWidth="1"/>
    <col min="4391" max="4391" width="1.7109375" style="21" customWidth="1"/>
    <col min="4392" max="4392" width="9.28515625" style="21" customWidth="1"/>
    <col min="4393" max="4393" width="16" style="21" customWidth="1"/>
    <col min="4394" max="4394" width="0.5703125" style="21" customWidth="1"/>
    <col min="4395" max="4395" width="9.42578125" style="21" bestFit="1" customWidth="1"/>
    <col min="4396" max="4396" width="1.140625" style="21" customWidth="1"/>
    <col min="4397" max="4628" width="9.140625" style="21"/>
    <col min="4629" max="4629" width="2.140625" style="21" customWidth="1"/>
    <col min="4630" max="4630" width="14" style="21" customWidth="1"/>
    <col min="4631" max="4631" width="0.7109375" style="21" customWidth="1"/>
    <col min="4632" max="4632" width="17.140625" style="21" customWidth="1"/>
    <col min="4633" max="4633" width="1.140625" style="21" customWidth="1"/>
    <col min="4634" max="4634" width="18.28515625" style="21" customWidth="1"/>
    <col min="4635" max="4635" width="1" style="21" customWidth="1"/>
    <col min="4636" max="4636" width="39.7109375" style="21" customWidth="1"/>
    <col min="4637" max="4637" width="1" style="21" customWidth="1"/>
    <col min="4638" max="4638" width="12.7109375" style="21" customWidth="1"/>
    <col min="4639" max="4639" width="1.28515625" style="21" customWidth="1"/>
    <col min="4640" max="4640" width="11.42578125" style="21" customWidth="1"/>
    <col min="4641" max="4641" width="1" style="21" customWidth="1"/>
    <col min="4642" max="4642" width="10.42578125" style="21" customWidth="1"/>
    <col min="4643" max="4643" width="0.85546875" style="21" customWidth="1"/>
    <col min="4644" max="4644" width="14" style="21" customWidth="1"/>
    <col min="4645" max="4645" width="0.85546875" style="21" customWidth="1"/>
    <col min="4646" max="4646" width="8.42578125" style="21" customWidth="1"/>
    <col min="4647" max="4647" width="1.7109375" style="21" customWidth="1"/>
    <col min="4648" max="4648" width="9.28515625" style="21" customWidth="1"/>
    <col min="4649" max="4649" width="16" style="21" customWidth="1"/>
    <col min="4650" max="4650" width="0.5703125" style="21" customWidth="1"/>
    <col min="4651" max="4651" width="9.42578125" style="21" bestFit="1" customWidth="1"/>
    <col min="4652" max="4652" width="1.140625" style="21" customWidth="1"/>
    <col min="4653" max="4884" width="9.140625" style="21"/>
    <col min="4885" max="4885" width="2.140625" style="21" customWidth="1"/>
    <col min="4886" max="4886" width="14" style="21" customWidth="1"/>
    <col min="4887" max="4887" width="0.7109375" style="21" customWidth="1"/>
    <col min="4888" max="4888" width="17.140625" style="21" customWidth="1"/>
    <col min="4889" max="4889" width="1.140625" style="21" customWidth="1"/>
    <col min="4890" max="4890" width="18.28515625" style="21" customWidth="1"/>
    <col min="4891" max="4891" width="1" style="21" customWidth="1"/>
    <col min="4892" max="4892" width="39.7109375" style="21" customWidth="1"/>
    <col min="4893" max="4893" width="1" style="21" customWidth="1"/>
    <col min="4894" max="4894" width="12.7109375" style="21" customWidth="1"/>
    <col min="4895" max="4895" width="1.28515625" style="21" customWidth="1"/>
    <col min="4896" max="4896" width="11.42578125" style="21" customWidth="1"/>
    <col min="4897" max="4897" width="1" style="21" customWidth="1"/>
    <col min="4898" max="4898" width="10.42578125" style="21" customWidth="1"/>
    <col min="4899" max="4899" width="0.85546875" style="21" customWidth="1"/>
    <col min="4900" max="4900" width="14" style="21" customWidth="1"/>
    <col min="4901" max="4901" width="0.85546875" style="21" customWidth="1"/>
    <col min="4902" max="4902" width="8.42578125" style="21" customWidth="1"/>
    <col min="4903" max="4903" width="1.7109375" style="21" customWidth="1"/>
    <col min="4904" max="4904" width="9.28515625" style="21" customWidth="1"/>
    <col min="4905" max="4905" width="16" style="21" customWidth="1"/>
    <col min="4906" max="4906" width="0.5703125" style="21" customWidth="1"/>
    <col min="4907" max="4907" width="9.42578125" style="21" bestFit="1" customWidth="1"/>
    <col min="4908" max="4908" width="1.140625" style="21" customWidth="1"/>
    <col min="4909" max="5140" width="9.140625" style="21"/>
    <col min="5141" max="5141" width="2.140625" style="21" customWidth="1"/>
    <col min="5142" max="5142" width="14" style="21" customWidth="1"/>
    <col min="5143" max="5143" width="0.7109375" style="21" customWidth="1"/>
    <col min="5144" max="5144" width="17.140625" style="21" customWidth="1"/>
    <col min="5145" max="5145" width="1.140625" style="21" customWidth="1"/>
    <col min="5146" max="5146" width="18.28515625" style="21" customWidth="1"/>
    <col min="5147" max="5147" width="1" style="21" customWidth="1"/>
    <col min="5148" max="5148" width="39.7109375" style="21" customWidth="1"/>
    <col min="5149" max="5149" width="1" style="21" customWidth="1"/>
    <col min="5150" max="5150" width="12.7109375" style="21" customWidth="1"/>
    <col min="5151" max="5151" width="1.28515625" style="21" customWidth="1"/>
    <col min="5152" max="5152" width="11.42578125" style="21" customWidth="1"/>
    <col min="5153" max="5153" width="1" style="21" customWidth="1"/>
    <col min="5154" max="5154" width="10.42578125" style="21" customWidth="1"/>
    <col min="5155" max="5155" width="0.85546875" style="21" customWidth="1"/>
    <col min="5156" max="5156" width="14" style="21" customWidth="1"/>
    <col min="5157" max="5157" width="0.85546875" style="21" customWidth="1"/>
    <col min="5158" max="5158" width="8.42578125" style="21" customWidth="1"/>
    <col min="5159" max="5159" width="1.7109375" style="21" customWidth="1"/>
    <col min="5160" max="5160" width="9.28515625" style="21" customWidth="1"/>
    <col min="5161" max="5161" width="16" style="21" customWidth="1"/>
    <col min="5162" max="5162" width="0.5703125" style="21" customWidth="1"/>
    <col min="5163" max="5163" width="9.42578125" style="21" bestFit="1" customWidth="1"/>
    <col min="5164" max="5164" width="1.140625" style="21" customWidth="1"/>
    <col min="5165" max="5396" width="9.140625" style="21"/>
    <col min="5397" max="5397" width="2.140625" style="21" customWidth="1"/>
    <col min="5398" max="5398" width="14" style="21" customWidth="1"/>
    <col min="5399" max="5399" width="0.7109375" style="21" customWidth="1"/>
    <col min="5400" max="5400" width="17.140625" style="21" customWidth="1"/>
    <col min="5401" max="5401" width="1.140625" style="21" customWidth="1"/>
    <col min="5402" max="5402" width="18.28515625" style="21" customWidth="1"/>
    <col min="5403" max="5403" width="1" style="21" customWidth="1"/>
    <col min="5404" max="5404" width="39.7109375" style="21" customWidth="1"/>
    <col min="5405" max="5405" width="1" style="21" customWidth="1"/>
    <col min="5406" max="5406" width="12.7109375" style="21" customWidth="1"/>
    <col min="5407" max="5407" width="1.28515625" style="21" customWidth="1"/>
    <col min="5408" max="5408" width="11.42578125" style="21" customWidth="1"/>
    <col min="5409" max="5409" width="1" style="21" customWidth="1"/>
    <col min="5410" max="5410" width="10.42578125" style="21" customWidth="1"/>
    <col min="5411" max="5411" width="0.85546875" style="21" customWidth="1"/>
    <col min="5412" max="5412" width="14" style="21" customWidth="1"/>
    <col min="5413" max="5413" width="0.85546875" style="21" customWidth="1"/>
    <col min="5414" max="5414" width="8.42578125" style="21" customWidth="1"/>
    <col min="5415" max="5415" width="1.7109375" style="21" customWidth="1"/>
    <col min="5416" max="5416" width="9.28515625" style="21" customWidth="1"/>
    <col min="5417" max="5417" width="16" style="21" customWidth="1"/>
    <col min="5418" max="5418" width="0.5703125" style="21" customWidth="1"/>
    <col min="5419" max="5419" width="9.42578125" style="21" bestFit="1" customWidth="1"/>
    <col min="5420" max="5420" width="1.140625" style="21" customWidth="1"/>
    <col min="5421" max="5652" width="9.140625" style="21"/>
    <col min="5653" max="5653" width="2.140625" style="21" customWidth="1"/>
    <col min="5654" max="5654" width="14" style="21" customWidth="1"/>
    <col min="5655" max="5655" width="0.7109375" style="21" customWidth="1"/>
    <col min="5656" max="5656" width="17.140625" style="21" customWidth="1"/>
    <col min="5657" max="5657" width="1.140625" style="21" customWidth="1"/>
    <col min="5658" max="5658" width="18.28515625" style="21" customWidth="1"/>
    <col min="5659" max="5659" width="1" style="21" customWidth="1"/>
    <col min="5660" max="5660" width="39.7109375" style="21" customWidth="1"/>
    <col min="5661" max="5661" width="1" style="21" customWidth="1"/>
    <col min="5662" max="5662" width="12.7109375" style="21" customWidth="1"/>
    <col min="5663" max="5663" width="1.28515625" style="21" customWidth="1"/>
    <col min="5664" max="5664" width="11.42578125" style="21" customWidth="1"/>
    <col min="5665" max="5665" width="1" style="21" customWidth="1"/>
    <col min="5666" max="5666" width="10.42578125" style="21" customWidth="1"/>
    <col min="5667" max="5667" width="0.85546875" style="21" customWidth="1"/>
    <col min="5668" max="5668" width="14" style="21" customWidth="1"/>
    <col min="5669" max="5669" width="0.85546875" style="21" customWidth="1"/>
    <col min="5670" max="5670" width="8.42578125" style="21" customWidth="1"/>
    <col min="5671" max="5671" width="1.7109375" style="21" customWidth="1"/>
    <col min="5672" max="5672" width="9.28515625" style="21" customWidth="1"/>
    <col min="5673" max="5673" width="16" style="21" customWidth="1"/>
    <col min="5674" max="5674" width="0.5703125" style="21" customWidth="1"/>
    <col min="5675" max="5675" width="9.42578125" style="21" bestFit="1" customWidth="1"/>
    <col min="5676" max="5676" width="1.140625" style="21" customWidth="1"/>
    <col min="5677" max="5908" width="9.140625" style="21"/>
    <col min="5909" max="5909" width="2.140625" style="21" customWidth="1"/>
    <col min="5910" max="5910" width="14" style="21" customWidth="1"/>
    <col min="5911" max="5911" width="0.7109375" style="21" customWidth="1"/>
    <col min="5912" max="5912" width="17.140625" style="21" customWidth="1"/>
    <col min="5913" max="5913" width="1.140625" style="21" customWidth="1"/>
    <col min="5914" max="5914" width="18.28515625" style="21" customWidth="1"/>
    <col min="5915" max="5915" width="1" style="21" customWidth="1"/>
    <col min="5916" max="5916" width="39.7109375" style="21" customWidth="1"/>
    <col min="5917" max="5917" width="1" style="21" customWidth="1"/>
    <col min="5918" max="5918" width="12.7109375" style="21" customWidth="1"/>
    <col min="5919" max="5919" width="1.28515625" style="21" customWidth="1"/>
    <col min="5920" max="5920" width="11.42578125" style="21" customWidth="1"/>
    <col min="5921" max="5921" width="1" style="21" customWidth="1"/>
    <col min="5922" max="5922" width="10.42578125" style="21" customWidth="1"/>
    <col min="5923" max="5923" width="0.85546875" style="21" customWidth="1"/>
    <col min="5924" max="5924" width="14" style="21" customWidth="1"/>
    <col min="5925" max="5925" width="0.85546875" style="21" customWidth="1"/>
    <col min="5926" max="5926" width="8.42578125" style="21" customWidth="1"/>
    <col min="5927" max="5927" width="1.7109375" style="21" customWidth="1"/>
    <col min="5928" max="5928" width="9.28515625" style="21" customWidth="1"/>
    <col min="5929" max="5929" width="16" style="21" customWidth="1"/>
    <col min="5930" max="5930" width="0.5703125" style="21" customWidth="1"/>
    <col min="5931" max="5931" width="9.42578125" style="21" bestFit="1" customWidth="1"/>
    <col min="5932" max="5932" width="1.140625" style="21" customWidth="1"/>
    <col min="5933" max="6164" width="9.140625" style="21"/>
    <col min="6165" max="6165" width="2.140625" style="21" customWidth="1"/>
    <col min="6166" max="6166" width="14" style="21" customWidth="1"/>
    <col min="6167" max="6167" width="0.7109375" style="21" customWidth="1"/>
    <col min="6168" max="6168" width="17.140625" style="21" customWidth="1"/>
    <col min="6169" max="6169" width="1.140625" style="21" customWidth="1"/>
    <col min="6170" max="6170" width="18.28515625" style="21" customWidth="1"/>
    <col min="6171" max="6171" width="1" style="21" customWidth="1"/>
    <col min="6172" max="6172" width="39.7109375" style="21" customWidth="1"/>
    <col min="6173" max="6173" width="1" style="21" customWidth="1"/>
    <col min="6174" max="6174" width="12.7109375" style="21" customWidth="1"/>
    <col min="6175" max="6175" width="1.28515625" style="21" customWidth="1"/>
    <col min="6176" max="6176" width="11.42578125" style="21" customWidth="1"/>
    <col min="6177" max="6177" width="1" style="21" customWidth="1"/>
    <col min="6178" max="6178" width="10.42578125" style="21" customWidth="1"/>
    <col min="6179" max="6179" width="0.85546875" style="21" customWidth="1"/>
    <col min="6180" max="6180" width="14" style="21" customWidth="1"/>
    <col min="6181" max="6181" width="0.85546875" style="21" customWidth="1"/>
    <col min="6182" max="6182" width="8.42578125" style="21" customWidth="1"/>
    <col min="6183" max="6183" width="1.7109375" style="21" customWidth="1"/>
    <col min="6184" max="6184" width="9.28515625" style="21" customWidth="1"/>
    <col min="6185" max="6185" width="16" style="21" customWidth="1"/>
    <col min="6186" max="6186" width="0.5703125" style="21" customWidth="1"/>
    <col min="6187" max="6187" width="9.42578125" style="21" bestFit="1" customWidth="1"/>
    <col min="6188" max="6188" width="1.140625" style="21" customWidth="1"/>
    <col min="6189" max="6420" width="9.140625" style="21"/>
    <col min="6421" max="6421" width="2.140625" style="21" customWidth="1"/>
    <col min="6422" max="6422" width="14" style="21" customWidth="1"/>
    <col min="6423" max="6423" width="0.7109375" style="21" customWidth="1"/>
    <col min="6424" max="6424" width="17.140625" style="21" customWidth="1"/>
    <col min="6425" max="6425" width="1.140625" style="21" customWidth="1"/>
    <col min="6426" max="6426" width="18.28515625" style="21" customWidth="1"/>
    <col min="6427" max="6427" width="1" style="21" customWidth="1"/>
    <col min="6428" max="6428" width="39.7109375" style="21" customWidth="1"/>
    <col min="6429" max="6429" width="1" style="21" customWidth="1"/>
    <col min="6430" max="6430" width="12.7109375" style="21" customWidth="1"/>
    <col min="6431" max="6431" width="1.28515625" style="21" customWidth="1"/>
    <col min="6432" max="6432" width="11.42578125" style="21" customWidth="1"/>
    <col min="6433" max="6433" width="1" style="21" customWidth="1"/>
    <col min="6434" max="6434" width="10.42578125" style="21" customWidth="1"/>
    <col min="6435" max="6435" width="0.85546875" style="21" customWidth="1"/>
    <col min="6436" max="6436" width="14" style="21" customWidth="1"/>
    <col min="6437" max="6437" width="0.85546875" style="21" customWidth="1"/>
    <col min="6438" max="6438" width="8.42578125" style="21" customWidth="1"/>
    <col min="6439" max="6439" width="1.7109375" style="21" customWidth="1"/>
    <col min="6440" max="6440" width="9.28515625" style="21" customWidth="1"/>
    <col min="6441" max="6441" width="16" style="21" customWidth="1"/>
    <col min="6442" max="6442" width="0.5703125" style="21" customWidth="1"/>
    <col min="6443" max="6443" width="9.42578125" style="21" bestFit="1" customWidth="1"/>
    <col min="6444" max="6444" width="1.140625" style="21" customWidth="1"/>
    <col min="6445" max="6676" width="9.140625" style="21"/>
    <col min="6677" max="6677" width="2.140625" style="21" customWidth="1"/>
    <col min="6678" max="6678" width="14" style="21" customWidth="1"/>
    <col min="6679" max="6679" width="0.7109375" style="21" customWidth="1"/>
    <col min="6680" max="6680" width="17.140625" style="21" customWidth="1"/>
    <col min="6681" max="6681" width="1.140625" style="21" customWidth="1"/>
    <col min="6682" max="6682" width="18.28515625" style="21" customWidth="1"/>
    <col min="6683" max="6683" width="1" style="21" customWidth="1"/>
    <col min="6684" max="6684" width="39.7109375" style="21" customWidth="1"/>
    <col min="6685" max="6685" width="1" style="21" customWidth="1"/>
    <col min="6686" max="6686" width="12.7109375" style="21" customWidth="1"/>
    <col min="6687" max="6687" width="1.28515625" style="21" customWidth="1"/>
    <col min="6688" max="6688" width="11.42578125" style="21" customWidth="1"/>
    <col min="6689" max="6689" width="1" style="21" customWidth="1"/>
    <col min="6690" max="6690" width="10.42578125" style="21" customWidth="1"/>
    <col min="6691" max="6691" width="0.85546875" style="21" customWidth="1"/>
    <col min="6692" max="6692" width="14" style="21" customWidth="1"/>
    <col min="6693" max="6693" width="0.85546875" style="21" customWidth="1"/>
    <col min="6694" max="6694" width="8.42578125" style="21" customWidth="1"/>
    <col min="6695" max="6695" width="1.7109375" style="21" customWidth="1"/>
    <col min="6696" max="6696" width="9.28515625" style="21" customWidth="1"/>
    <col min="6697" max="6697" width="16" style="21" customWidth="1"/>
    <col min="6698" max="6698" width="0.5703125" style="21" customWidth="1"/>
    <col min="6699" max="6699" width="9.42578125" style="21" bestFit="1" customWidth="1"/>
    <col min="6700" max="6700" width="1.140625" style="21" customWidth="1"/>
    <col min="6701" max="6932" width="9.140625" style="21"/>
    <col min="6933" max="6933" width="2.140625" style="21" customWidth="1"/>
    <col min="6934" max="6934" width="14" style="21" customWidth="1"/>
    <col min="6935" max="6935" width="0.7109375" style="21" customWidth="1"/>
    <col min="6936" max="6936" width="17.140625" style="21" customWidth="1"/>
    <col min="6937" max="6937" width="1.140625" style="21" customWidth="1"/>
    <col min="6938" max="6938" width="18.28515625" style="21" customWidth="1"/>
    <col min="6939" max="6939" width="1" style="21" customWidth="1"/>
    <col min="6940" max="6940" width="39.7109375" style="21" customWidth="1"/>
    <col min="6941" max="6941" width="1" style="21" customWidth="1"/>
    <col min="6942" max="6942" width="12.7109375" style="21" customWidth="1"/>
    <col min="6943" max="6943" width="1.28515625" style="21" customWidth="1"/>
    <col min="6944" max="6944" width="11.42578125" style="21" customWidth="1"/>
    <col min="6945" max="6945" width="1" style="21" customWidth="1"/>
    <col min="6946" max="6946" width="10.42578125" style="21" customWidth="1"/>
    <col min="6947" max="6947" width="0.85546875" style="21" customWidth="1"/>
    <col min="6948" max="6948" width="14" style="21" customWidth="1"/>
    <col min="6949" max="6949" width="0.85546875" style="21" customWidth="1"/>
    <col min="6950" max="6950" width="8.42578125" style="21" customWidth="1"/>
    <col min="6951" max="6951" width="1.7109375" style="21" customWidth="1"/>
    <col min="6952" max="6952" width="9.28515625" style="21" customWidth="1"/>
    <col min="6953" max="6953" width="16" style="21" customWidth="1"/>
    <col min="6954" max="6954" width="0.5703125" style="21" customWidth="1"/>
    <col min="6955" max="6955" width="9.42578125" style="21" bestFit="1" customWidth="1"/>
    <col min="6956" max="6956" width="1.140625" style="21" customWidth="1"/>
    <col min="6957" max="7188" width="9.140625" style="21"/>
    <col min="7189" max="7189" width="2.140625" style="21" customWidth="1"/>
    <col min="7190" max="7190" width="14" style="21" customWidth="1"/>
    <col min="7191" max="7191" width="0.7109375" style="21" customWidth="1"/>
    <col min="7192" max="7192" width="17.140625" style="21" customWidth="1"/>
    <col min="7193" max="7193" width="1.140625" style="21" customWidth="1"/>
    <col min="7194" max="7194" width="18.28515625" style="21" customWidth="1"/>
    <col min="7195" max="7195" width="1" style="21" customWidth="1"/>
    <col min="7196" max="7196" width="39.7109375" style="21" customWidth="1"/>
    <col min="7197" max="7197" width="1" style="21" customWidth="1"/>
    <col min="7198" max="7198" width="12.7109375" style="21" customWidth="1"/>
    <col min="7199" max="7199" width="1.28515625" style="21" customWidth="1"/>
    <col min="7200" max="7200" width="11.42578125" style="21" customWidth="1"/>
    <col min="7201" max="7201" width="1" style="21" customWidth="1"/>
    <col min="7202" max="7202" width="10.42578125" style="21" customWidth="1"/>
    <col min="7203" max="7203" width="0.85546875" style="21" customWidth="1"/>
    <col min="7204" max="7204" width="14" style="21" customWidth="1"/>
    <col min="7205" max="7205" width="0.85546875" style="21" customWidth="1"/>
    <col min="7206" max="7206" width="8.42578125" style="21" customWidth="1"/>
    <col min="7207" max="7207" width="1.7109375" style="21" customWidth="1"/>
    <col min="7208" max="7208" width="9.28515625" style="21" customWidth="1"/>
    <col min="7209" max="7209" width="16" style="21" customWidth="1"/>
    <col min="7210" max="7210" width="0.5703125" style="21" customWidth="1"/>
    <col min="7211" max="7211" width="9.42578125" style="21" bestFit="1" customWidth="1"/>
    <col min="7212" max="7212" width="1.140625" style="21" customWidth="1"/>
    <col min="7213" max="7444" width="9.140625" style="21"/>
    <col min="7445" max="7445" width="2.140625" style="21" customWidth="1"/>
    <col min="7446" max="7446" width="14" style="21" customWidth="1"/>
    <col min="7447" max="7447" width="0.7109375" style="21" customWidth="1"/>
    <col min="7448" max="7448" width="17.140625" style="21" customWidth="1"/>
    <col min="7449" max="7449" width="1.140625" style="21" customWidth="1"/>
    <col min="7450" max="7450" width="18.28515625" style="21" customWidth="1"/>
    <col min="7451" max="7451" width="1" style="21" customWidth="1"/>
    <col min="7452" max="7452" width="39.7109375" style="21" customWidth="1"/>
    <col min="7453" max="7453" width="1" style="21" customWidth="1"/>
    <col min="7454" max="7454" width="12.7109375" style="21" customWidth="1"/>
    <col min="7455" max="7455" width="1.28515625" style="21" customWidth="1"/>
    <col min="7456" max="7456" width="11.42578125" style="21" customWidth="1"/>
    <col min="7457" max="7457" width="1" style="21" customWidth="1"/>
    <col min="7458" max="7458" width="10.42578125" style="21" customWidth="1"/>
    <col min="7459" max="7459" width="0.85546875" style="21" customWidth="1"/>
    <col min="7460" max="7460" width="14" style="21" customWidth="1"/>
    <col min="7461" max="7461" width="0.85546875" style="21" customWidth="1"/>
    <col min="7462" max="7462" width="8.42578125" style="21" customWidth="1"/>
    <col min="7463" max="7463" width="1.7109375" style="21" customWidth="1"/>
    <col min="7464" max="7464" width="9.28515625" style="21" customWidth="1"/>
    <col min="7465" max="7465" width="16" style="21" customWidth="1"/>
    <col min="7466" max="7466" width="0.5703125" style="21" customWidth="1"/>
    <col min="7467" max="7467" width="9.42578125" style="21" bestFit="1" customWidth="1"/>
    <col min="7468" max="7468" width="1.140625" style="21" customWidth="1"/>
    <col min="7469" max="7700" width="9.140625" style="21"/>
    <col min="7701" max="7701" width="2.140625" style="21" customWidth="1"/>
    <col min="7702" max="7702" width="14" style="21" customWidth="1"/>
    <col min="7703" max="7703" width="0.7109375" style="21" customWidth="1"/>
    <col min="7704" max="7704" width="17.140625" style="21" customWidth="1"/>
    <col min="7705" max="7705" width="1.140625" style="21" customWidth="1"/>
    <col min="7706" max="7706" width="18.28515625" style="21" customWidth="1"/>
    <col min="7707" max="7707" width="1" style="21" customWidth="1"/>
    <col min="7708" max="7708" width="39.7109375" style="21" customWidth="1"/>
    <col min="7709" max="7709" width="1" style="21" customWidth="1"/>
    <col min="7710" max="7710" width="12.7109375" style="21" customWidth="1"/>
    <col min="7711" max="7711" width="1.28515625" style="21" customWidth="1"/>
    <col min="7712" max="7712" width="11.42578125" style="21" customWidth="1"/>
    <col min="7713" max="7713" width="1" style="21" customWidth="1"/>
    <col min="7714" max="7714" width="10.42578125" style="21" customWidth="1"/>
    <col min="7715" max="7715" width="0.85546875" style="21" customWidth="1"/>
    <col min="7716" max="7716" width="14" style="21" customWidth="1"/>
    <col min="7717" max="7717" width="0.85546875" style="21" customWidth="1"/>
    <col min="7718" max="7718" width="8.42578125" style="21" customWidth="1"/>
    <col min="7719" max="7719" width="1.7109375" style="21" customWidth="1"/>
    <col min="7720" max="7720" width="9.28515625" style="21" customWidth="1"/>
    <col min="7721" max="7721" width="16" style="21" customWidth="1"/>
    <col min="7722" max="7722" width="0.5703125" style="21" customWidth="1"/>
    <col min="7723" max="7723" width="9.42578125" style="21" bestFit="1" customWidth="1"/>
    <col min="7724" max="7724" width="1.140625" style="21" customWidth="1"/>
    <col min="7725" max="7956" width="9.140625" style="21"/>
    <col min="7957" max="7957" width="2.140625" style="21" customWidth="1"/>
    <col min="7958" max="7958" width="14" style="21" customWidth="1"/>
    <col min="7959" max="7959" width="0.7109375" style="21" customWidth="1"/>
    <col min="7960" max="7960" width="17.140625" style="21" customWidth="1"/>
    <col min="7961" max="7961" width="1.140625" style="21" customWidth="1"/>
    <col min="7962" max="7962" width="18.28515625" style="21" customWidth="1"/>
    <col min="7963" max="7963" width="1" style="21" customWidth="1"/>
    <col min="7964" max="7964" width="39.7109375" style="21" customWidth="1"/>
    <col min="7965" max="7965" width="1" style="21" customWidth="1"/>
    <col min="7966" max="7966" width="12.7109375" style="21" customWidth="1"/>
    <col min="7967" max="7967" width="1.28515625" style="21" customWidth="1"/>
    <col min="7968" max="7968" width="11.42578125" style="21" customWidth="1"/>
    <col min="7969" max="7969" width="1" style="21" customWidth="1"/>
    <col min="7970" max="7970" width="10.42578125" style="21" customWidth="1"/>
    <col min="7971" max="7971" width="0.85546875" style="21" customWidth="1"/>
    <col min="7972" max="7972" width="14" style="21" customWidth="1"/>
    <col min="7973" max="7973" width="0.85546875" style="21" customWidth="1"/>
    <col min="7974" max="7974" width="8.42578125" style="21" customWidth="1"/>
    <col min="7975" max="7975" width="1.7109375" style="21" customWidth="1"/>
    <col min="7976" max="7976" width="9.28515625" style="21" customWidth="1"/>
    <col min="7977" max="7977" width="16" style="21" customWidth="1"/>
    <col min="7978" max="7978" width="0.5703125" style="21" customWidth="1"/>
    <col min="7979" max="7979" width="9.42578125" style="21" bestFit="1" customWidth="1"/>
    <col min="7980" max="7980" width="1.140625" style="21" customWidth="1"/>
    <col min="7981" max="8212" width="9.140625" style="21"/>
    <col min="8213" max="8213" width="2.140625" style="21" customWidth="1"/>
    <col min="8214" max="8214" width="14" style="21" customWidth="1"/>
    <col min="8215" max="8215" width="0.7109375" style="21" customWidth="1"/>
    <col min="8216" max="8216" width="17.140625" style="21" customWidth="1"/>
    <col min="8217" max="8217" width="1.140625" style="21" customWidth="1"/>
    <col min="8218" max="8218" width="18.28515625" style="21" customWidth="1"/>
    <col min="8219" max="8219" width="1" style="21" customWidth="1"/>
    <col min="8220" max="8220" width="39.7109375" style="21" customWidth="1"/>
    <col min="8221" max="8221" width="1" style="21" customWidth="1"/>
    <col min="8222" max="8222" width="12.7109375" style="21" customWidth="1"/>
    <col min="8223" max="8223" width="1.28515625" style="21" customWidth="1"/>
    <col min="8224" max="8224" width="11.42578125" style="21" customWidth="1"/>
    <col min="8225" max="8225" width="1" style="21" customWidth="1"/>
    <col min="8226" max="8226" width="10.42578125" style="21" customWidth="1"/>
    <col min="8227" max="8227" width="0.85546875" style="21" customWidth="1"/>
    <col min="8228" max="8228" width="14" style="21" customWidth="1"/>
    <col min="8229" max="8229" width="0.85546875" style="21" customWidth="1"/>
    <col min="8230" max="8230" width="8.42578125" style="21" customWidth="1"/>
    <col min="8231" max="8231" width="1.7109375" style="21" customWidth="1"/>
    <col min="8232" max="8232" width="9.28515625" style="21" customWidth="1"/>
    <col min="8233" max="8233" width="16" style="21" customWidth="1"/>
    <col min="8234" max="8234" width="0.5703125" style="21" customWidth="1"/>
    <col min="8235" max="8235" width="9.42578125" style="21" bestFit="1" customWidth="1"/>
    <col min="8236" max="8236" width="1.140625" style="21" customWidth="1"/>
    <col min="8237" max="8468" width="9.140625" style="21"/>
    <col min="8469" max="8469" width="2.140625" style="21" customWidth="1"/>
    <col min="8470" max="8470" width="14" style="21" customWidth="1"/>
    <col min="8471" max="8471" width="0.7109375" style="21" customWidth="1"/>
    <col min="8472" max="8472" width="17.140625" style="21" customWidth="1"/>
    <col min="8473" max="8473" width="1.140625" style="21" customWidth="1"/>
    <col min="8474" max="8474" width="18.28515625" style="21" customWidth="1"/>
    <col min="8475" max="8475" width="1" style="21" customWidth="1"/>
    <col min="8476" max="8476" width="39.7109375" style="21" customWidth="1"/>
    <col min="8477" max="8477" width="1" style="21" customWidth="1"/>
    <col min="8478" max="8478" width="12.7109375" style="21" customWidth="1"/>
    <col min="8479" max="8479" width="1.28515625" style="21" customWidth="1"/>
    <col min="8480" max="8480" width="11.42578125" style="21" customWidth="1"/>
    <col min="8481" max="8481" width="1" style="21" customWidth="1"/>
    <col min="8482" max="8482" width="10.42578125" style="21" customWidth="1"/>
    <col min="8483" max="8483" width="0.85546875" style="21" customWidth="1"/>
    <col min="8484" max="8484" width="14" style="21" customWidth="1"/>
    <col min="8485" max="8485" width="0.85546875" style="21" customWidth="1"/>
    <col min="8486" max="8486" width="8.42578125" style="21" customWidth="1"/>
    <col min="8487" max="8487" width="1.7109375" style="21" customWidth="1"/>
    <col min="8488" max="8488" width="9.28515625" style="21" customWidth="1"/>
    <col min="8489" max="8489" width="16" style="21" customWidth="1"/>
    <col min="8490" max="8490" width="0.5703125" style="21" customWidth="1"/>
    <col min="8491" max="8491" width="9.42578125" style="21" bestFit="1" customWidth="1"/>
    <col min="8492" max="8492" width="1.140625" style="21" customWidth="1"/>
    <col min="8493" max="8724" width="9.140625" style="21"/>
    <col min="8725" max="8725" width="2.140625" style="21" customWidth="1"/>
    <col min="8726" max="8726" width="14" style="21" customWidth="1"/>
    <col min="8727" max="8727" width="0.7109375" style="21" customWidth="1"/>
    <col min="8728" max="8728" width="17.140625" style="21" customWidth="1"/>
    <col min="8729" max="8729" width="1.140625" style="21" customWidth="1"/>
    <col min="8730" max="8730" width="18.28515625" style="21" customWidth="1"/>
    <col min="8731" max="8731" width="1" style="21" customWidth="1"/>
    <col min="8732" max="8732" width="39.7109375" style="21" customWidth="1"/>
    <col min="8733" max="8733" width="1" style="21" customWidth="1"/>
    <col min="8734" max="8734" width="12.7109375" style="21" customWidth="1"/>
    <col min="8735" max="8735" width="1.28515625" style="21" customWidth="1"/>
    <col min="8736" max="8736" width="11.42578125" style="21" customWidth="1"/>
    <col min="8737" max="8737" width="1" style="21" customWidth="1"/>
    <col min="8738" max="8738" width="10.42578125" style="21" customWidth="1"/>
    <col min="8739" max="8739" width="0.85546875" style="21" customWidth="1"/>
    <col min="8740" max="8740" width="14" style="21" customWidth="1"/>
    <col min="8741" max="8741" width="0.85546875" style="21" customWidth="1"/>
    <col min="8742" max="8742" width="8.42578125" style="21" customWidth="1"/>
    <col min="8743" max="8743" width="1.7109375" style="21" customWidth="1"/>
    <col min="8744" max="8744" width="9.28515625" style="21" customWidth="1"/>
    <col min="8745" max="8745" width="16" style="21" customWidth="1"/>
    <col min="8746" max="8746" width="0.5703125" style="21" customWidth="1"/>
    <col min="8747" max="8747" width="9.42578125" style="21" bestFit="1" customWidth="1"/>
    <col min="8748" max="8748" width="1.140625" style="21" customWidth="1"/>
    <col min="8749" max="8980" width="9.140625" style="21"/>
    <col min="8981" max="8981" width="2.140625" style="21" customWidth="1"/>
    <col min="8982" max="8982" width="14" style="21" customWidth="1"/>
    <col min="8983" max="8983" width="0.7109375" style="21" customWidth="1"/>
    <col min="8984" max="8984" width="17.140625" style="21" customWidth="1"/>
    <col min="8985" max="8985" width="1.140625" style="21" customWidth="1"/>
    <col min="8986" max="8986" width="18.28515625" style="21" customWidth="1"/>
    <col min="8987" max="8987" width="1" style="21" customWidth="1"/>
    <col min="8988" max="8988" width="39.7109375" style="21" customWidth="1"/>
    <col min="8989" max="8989" width="1" style="21" customWidth="1"/>
    <col min="8990" max="8990" width="12.7109375" style="21" customWidth="1"/>
    <col min="8991" max="8991" width="1.28515625" style="21" customWidth="1"/>
    <col min="8992" max="8992" width="11.42578125" style="21" customWidth="1"/>
    <col min="8993" max="8993" width="1" style="21" customWidth="1"/>
    <col min="8994" max="8994" width="10.42578125" style="21" customWidth="1"/>
    <col min="8995" max="8995" width="0.85546875" style="21" customWidth="1"/>
    <col min="8996" max="8996" width="14" style="21" customWidth="1"/>
    <col min="8997" max="8997" width="0.85546875" style="21" customWidth="1"/>
    <col min="8998" max="8998" width="8.42578125" style="21" customWidth="1"/>
    <col min="8999" max="8999" width="1.7109375" style="21" customWidth="1"/>
    <col min="9000" max="9000" width="9.28515625" style="21" customWidth="1"/>
    <col min="9001" max="9001" width="16" style="21" customWidth="1"/>
    <col min="9002" max="9002" width="0.5703125" style="21" customWidth="1"/>
    <col min="9003" max="9003" width="9.42578125" style="21" bestFit="1" customWidth="1"/>
    <col min="9004" max="9004" width="1.140625" style="21" customWidth="1"/>
    <col min="9005" max="9236" width="9.140625" style="21"/>
    <col min="9237" max="9237" width="2.140625" style="21" customWidth="1"/>
    <col min="9238" max="9238" width="14" style="21" customWidth="1"/>
    <col min="9239" max="9239" width="0.7109375" style="21" customWidth="1"/>
    <col min="9240" max="9240" width="17.140625" style="21" customWidth="1"/>
    <col min="9241" max="9241" width="1.140625" style="21" customWidth="1"/>
    <col min="9242" max="9242" width="18.28515625" style="21" customWidth="1"/>
    <col min="9243" max="9243" width="1" style="21" customWidth="1"/>
    <col min="9244" max="9244" width="39.7109375" style="21" customWidth="1"/>
    <col min="9245" max="9245" width="1" style="21" customWidth="1"/>
    <col min="9246" max="9246" width="12.7109375" style="21" customWidth="1"/>
    <col min="9247" max="9247" width="1.28515625" style="21" customWidth="1"/>
    <col min="9248" max="9248" width="11.42578125" style="21" customWidth="1"/>
    <col min="9249" max="9249" width="1" style="21" customWidth="1"/>
    <col min="9250" max="9250" width="10.42578125" style="21" customWidth="1"/>
    <col min="9251" max="9251" width="0.85546875" style="21" customWidth="1"/>
    <col min="9252" max="9252" width="14" style="21" customWidth="1"/>
    <col min="9253" max="9253" width="0.85546875" style="21" customWidth="1"/>
    <col min="9254" max="9254" width="8.42578125" style="21" customWidth="1"/>
    <col min="9255" max="9255" width="1.7109375" style="21" customWidth="1"/>
    <col min="9256" max="9256" width="9.28515625" style="21" customWidth="1"/>
    <col min="9257" max="9257" width="16" style="21" customWidth="1"/>
    <col min="9258" max="9258" width="0.5703125" style="21" customWidth="1"/>
    <col min="9259" max="9259" width="9.42578125" style="21" bestFit="1" customWidth="1"/>
    <col min="9260" max="9260" width="1.140625" style="21" customWidth="1"/>
    <col min="9261" max="9492" width="9.140625" style="21"/>
    <col min="9493" max="9493" width="2.140625" style="21" customWidth="1"/>
    <col min="9494" max="9494" width="14" style="21" customWidth="1"/>
    <col min="9495" max="9495" width="0.7109375" style="21" customWidth="1"/>
    <col min="9496" max="9496" width="17.140625" style="21" customWidth="1"/>
    <col min="9497" max="9497" width="1.140625" style="21" customWidth="1"/>
    <col min="9498" max="9498" width="18.28515625" style="21" customWidth="1"/>
    <col min="9499" max="9499" width="1" style="21" customWidth="1"/>
    <col min="9500" max="9500" width="39.7109375" style="21" customWidth="1"/>
    <col min="9501" max="9501" width="1" style="21" customWidth="1"/>
    <col min="9502" max="9502" width="12.7109375" style="21" customWidth="1"/>
    <col min="9503" max="9503" width="1.28515625" style="21" customWidth="1"/>
    <col min="9504" max="9504" width="11.42578125" style="21" customWidth="1"/>
    <col min="9505" max="9505" width="1" style="21" customWidth="1"/>
    <col min="9506" max="9506" width="10.42578125" style="21" customWidth="1"/>
    <col min="9507" max="9507" width="0.85546875" style="21" customWidth="1"/>
    <col min="9508" max="9508" width="14" style="21" customWidth="1"/>
    <col min="9509" max="9509" width="0.85546875" style="21" customWidth="1"/>
    <col min="9510" max="9510" width="8.42578125" style="21" customWidth="1"/>
    <col min="9511" max="9511" width="1.7109375" style="21" customWidth="1"/>
    <col min="9512" max="9512" width="9.28515625" style="21" customWidth="1"/>
    <col min="9513" max="9513" width="16" style="21" customWidth="1"/>
    <col min="9514" max="9514" width="0.5703125" style="21" customWidth="1"/>
    <col min="9515" max="9515" width="9.42578125" style="21" bestFit="1" customWidth="1"/>
    <col min="9516" max="9516" width="1.140625" style="21" customWidth="1"/>
    <col min="9517" max="9748" width="9.140625" style="21"/>
    <col min="9749" max="9749" width="2.140625" style="21" customWidth="1"/>
    <col min="9750" max="9750" width="14" style="21" customWidth="1"/>
    <col min="9751" max="9751" width="0.7109375" style="21" customWidth="1"/>
    <col min="9752" max="9752" width="17.140625" style="21" customWidth="1"/>
    <col min="9753" max="9753" width="1.140625" style="21" customWidth="1"/>
    <col min="9754" max="9754" width="18.28515625" style="21" customWidth="1"/>
    <col min="9755" max="9755" width="1" style="21" customWidth="1"/>
    <col min="9756" max="9756" width="39.7109375" style="21" customWidth="1"/>
    <col min="9757" max="9757" width="1" style="21" customWidth="1"/>
    <col min="9758" max="9758" width="12.7109375" style="21" customWidth="1"/>
    <col min="9759" max="9759" width="1.28515625" style="21" customWidth="1"/>
    <col min="9760" max="9760" width="11.42578125" style="21" customWidth="1"/>
    <col min="9761" max="9761" width="1" style="21" customWidth="1"/>
    <col min="9762" max="9762" width="10.42578125" style="21" customWidth="1"/>
    <col min="9763" max="9763" width="0.85546875" style="21" customWidth="1"/>
    <col min="9764" max="9764" width="14" style="21" customWidth="1"/>
    <col min="9765" max="9765" width="0.85546875" style="21" customWidth="1"/>
    <col min="9766" max="9766" width="8.42578125" style="21" customWidth="1"/>
    <col min="9767" max="9767" width="1.7109375" style="21" customWidth="1"/>
    <col min="9768" max="9768" width="9.28515625" style="21" customWidth="1"/>
    <col min="9769" max="9769" width="16" style="21" customWidth="1"/>
    <col min="9770" max="9770" width="0.5703125" style="21" customWidth="1"/>
    <col min="9771" max="9771" width="9.42578125" style="21" bestFit="1" customWidth="1"/>
    <col min="9772" max="9772" width="1.140625" style="21" customWidth="1"/>
    <col min="9773" max="10004" width="9.140625" style="21"/>
    <col min="10005" max="10005" width="2.140625" style="21" customWidth="1"/>
    <col min="10006" max="10006" width="14" style="21" customWidth="1"/>
    <col min="10007" max="10007" width="0.7109375" style="21" customWidth="1"/>
    <col min="10008" max="10008" width="17.140625" style="21" customWidth="1"/>
    <col min="10009" max="10009" width="1.140625" style="21" customWidth="1"/>
    <col min="10010" max="10010" width="18.28515625" style="21" customWidth="1"/>
    <col min="10011" max="10011" width="1" style="21" customWidth="1"/>
    <col min="10012" max="10012" width="39.7109375" style="21" customWidth="1"/>
    <col min="10013" max="10013" width="1" style="21" customWidth="1"/>
    <col min="10014" max="10014" width="12.7109375" style="21" customWidth="1"/>
    <col min="10015" max="10015" width="1.28515625" style="21" customWidth="1"/>
    <col min="10016" max="10016" width="11.42578125" style="21" customWidth="1"/>
    <col min="10017" max="10017" width="1" style="21" customWidth="1"/>
    <col min="10018" max="10018" width="10.42578125" style="21" customWidth="1"/>
    <col min="10019" max="10019" width="0.85546875" style="21" customWidth="1"/>
    <col min="10020" max="10020" width="14" style="21" customWidth="1"/>
    <col min="10021" max="10021" width="0.85546875" style="21" customWidth="1"/>
    <col min="10022" max="10022" width="8.42578125" style="21" customWidth="1"/>
    <col min="10023" max="10023" width="1.7109375" style="21" customWidth="1"/>
    <col min="10024" max="10024" width="9.28515625" style="21" customWidth="1"/>
    <col min="10025" max="10025" width="16" style="21" customWidth="1"/>
    <col min="10026" max="10026" width="0.5703125" style="21" customWidth="1"/>
    <col min="10027" max="10027" width="9.42578125" style="21" bestFit="1" customWidth="1"/>
    <col min="10028" max="10028" width="1.140625" style="21" customWidth="1"/>
    <col min="10029" max="10260" width="9.140625" style="21"/>
    <col min="10261" max="10261" width="2.140625" style="21" customWidth="1"/>
    <col min="10262" max="10262" width="14" style="21" customWidth="1"/>
    <col min="10263" max="10263" width="0.7109375" style="21" customWidth="1"/>
    <col min="10264" max="10264" width="17.140625" style="21" customWidth="1"/>
    <col min="10265" max="10265" width="1.140625" style="21" customWidth="1"/>
    <col min="10266" max="10266" width="18.28515625" style="21" customWidth="1"/>
    <col min="10267" max="10267" width="1" style="21" customWidth="1"/>
    <col min="10268" max="10268" width="39.7109375" style="21" customWidth="1"/>
    <col min="10269" max="10269" width="1" style="21" customWidth="1"/>
    <col min="10270" max="10270" width="12.7109375" style="21" customWidth="1"/>
    <col min="10271" max="10271" width="1.28515625" style="21" customWidth="1"/>
    <col min="10272" max="10272" width="11.42578125" style="21" customWidth="1"/>
    <col min="10273" max="10273" width="1" style="21" customWidth="1"/>
    <col min="10274" max="10274" width="10.42578125" style="21" customWidth="1"/>
    <col min="10275" max="10275" width="0.85546875" style="21" customWidth="1"/>
    <col min="10276" max="10276" width="14" style="21" customWidth="1"/>
    <col min="10277" max="10277" width="0.85546875" style="21" customWidth="1"/>
    <col min="10278" max="10278" width="8.42578125" style="21" customWidth="1"/>
    <col min="10279" max="10279" width="1.7109375" style="21" customWidth="1"/>
    <col min="10280" max="10280" width="9.28515625" style="21" customWidth="1"/>
    <col min="10281" max="10281" width="16" style="21" customWidth="1"/>
    <col min="10282" max="10282" width="0.5703125" style="21" customWidth="1"/>
    <col min="10283" max="10283" width="9.42578125" style="21" bestFit="1" customWidth="1"/>
    <col min="10284" max="10284" width="1.140625" style="21" customWidth="1"/>
    <col min="10285" max="10516" width="9.140625" style="21"/>
    <col min="10517" max="10517" width="2.140625" style="21" customWidth="1"/>
    <col min="10518" max="10518" width="14" style="21" customWidth="1"/>
    <col min="10519" max="10519" width="0.7109375" style="21" customWidth="1"/>
    <col min="10520" max="10520" width="17.140625" style="21" customWidth="1"/>
    <col min="10521" max="10521" width="1.140625" style="21" customWidth="1"/>
    <col min="10522" max="10522" width="18.28515625" style="21" customWidth="1"/>
    <col min="10523" max="10523" width="1" style="21" customWidth="1"/>
    <col min="10524" max="10524" width="39.7109375" style="21" customWidth="1"/>
    <col min="10525" max="10525" width="1" style="21" customWidth="1"/>
    <col min="10526" max="10526" width="12.7109375" style="21" customWidth="1"/>
    <col min="10527" max="10527" width="1.28515625" style="21" customWidth="1"/>
    <col min="10528" max="10528" width="11.42578125" style="21" customWidth="1"/>
    <col min="10529" max="10529" width="1" style="21" customWidth="1"/>
    <col min="10530" max="10530" width="10.42578125" style="21" customWidth="1"/>
    <col min="10531" max="10531" width="0.85546875" style="21" customWidth="1"/>
    <col min="10532" max="10532" width="14" style="21" customWidth="1"/>
    <col min="10533" max="10533" width="0.85546875" style="21" customWidth="1"/>
    <col min="10534" max="10534" width="8.42578125" style="21" customWidth="1"/>
    <col min="10535" max="10535" width="1.7109375" style="21" customWidth="1"/>
    <col min="10536" max="10536" width="9.28515625" style="21" customWidth="1"/>
    <col min="10537" max="10537" width="16" style="21" customWidth="1"/>
    <col min="10538" max="10538" width="0.5703125" style="21" customWidth="1"/>
    <col min="10539" max="10539" width="9.42578125" style="21" bestFit="1" customWidth="1"/>
    <col min="10540" max="10540" width="1.140625" style="21" customWidth="1"/>
    <col min="10541" max="10772" width="9.140625" style="21"/>
    <col min="10773" max="10773" width="2.140625" style="21" customWidth="1"/>
    <col min="10774" max="10774" width="14" style="21" customWidth="1"/>
    <col min="10775" max="10775" width="0.7109375" style="21" customWidth="1"/>
    <col min="10776" max="10776" width="17.140625" style="21" customWidth="1"/>
    <col min="10777" max="10777" width="1.140625" style="21" customWidth="1"/>
    <col min="10778" max="10778" width="18.28515625" style="21" customWidth="1"/>
    <col min="10779" max="10779" width="1" style="21" customWidth="1"/>
    <col min="10780" max="10780" width="39.7109375" style="21" customWidth="1"/>
    <col min="10781" max="10781" width="1" style="21" customWidth="1"/>
    <col min="10782" max="10782" width="12.7109375" style="21" customWidth="1"/>
    <col min="10783" max="10783" width="1.28515625" style="21" customWidth="1"/>
    <col min="10784" max="10784" width="11.42578125" style="21" customWidth="1"/>
    <col min="10785" max="10785" width="1" style="21" customWidth="1"/>
    <col min="10786" max="10786" width="10.42578125" style="21" customWidth="1"/>
    <col min="10787" max="10787" width="0.85546875" style="21" customWidth="1"/>
    <col min="10788" max="10788" width="14" style="21" customWidth="1"/>
    <col min="10789" max="10789" width="0.85546875" style="21" customWidth="1"/>
    <col min="10790" max="10790" width="8.42578125" style="21" customWidth="1"/>
    <col min="10791" max="10791" width="1.7109375" style="21" customWidth="1"/>
    <col min="10792" max="10792" width="9.28515625" style="21" customWidth="1"/>
    <col min="10793" max="10793" width="16" style="21" customWidth="1"/>
    <col min="10794" max="10794" width="0.5703125" style="21" customWidth="1"/>
    <col min="10795" max="10795" width="9.42578125" style="21" bestFit="1" customWidth="1"/>
    <col min="10796" max="10796" width="1.140625" style="21" customWidth="1"/>
    <col min="10797" max="11028" width="9.140625" style="21"/>
    <col min="11029" max="11029" width="2.140625" style="21" customWidth="1"/>
    <col min="11030" max="11030" width="14" style="21" customWidth="1"/>
    <col min="11031" max="11031" width="0.7109375" style="21" customWidth="1"/>
    <col min="11032" max="11032" width="17.140625" style="21" customWidth="1"/>
    <col min="11033" max="11033" width="1.140625" style="21" customWidth="1"/>
    <col min="11034" max="11034" width="18.28515625" style="21" customWidth="1"/>
    <col min="11035" max="11035" width="1" style="21" customWidth="1"/>
    <col min="11036" max="11036" width="39.7109375" style="21" customWidth="1"/>
    <col min="11037" max="11037" width="1" style="21" customWidth="1"/>
    <col min="11038" max="11038" width="12.7109375" style="21" customWidth="1"/>
    <col min="11039" max="11039" width="1.28515625" style="21" customWidth="1"/>
    <col min="11040" max="11040" width="11.42578125" style="21" customWidth="1"/>
    <col min="11041" max="11041" width="1" style="21" customWidth="1"/>
    <col min="11042" max="11042" width="10.42578125" style="21" customWidth="1"/>
    <col min="11043" max="11043" width="0.85546875" style="21" customWidth="1"/>
    <col min="11044" max="11044" width="14" style="21" customWidth="1"/>
    <col min="11045" max="11045" width="0.85546875" style="21" customWidth="1"/>
    <col min="11046" max="11046" width="8.42578125" style="21" customWidth="1"/>
    <col min="11047" max="11047" width="1.7109375" style="21" customWidth="1"/>
    <col min="11048" max="11048" width="9.28515625" style="21" customWidth="1"/>
    <col min="11049" max="11049" width="16" style="21" customWidth="1"/>
    <col min="11050" max="11050" width="0.5703125" style="21" customWidth="1"/>
    <col min="11051" max="11051" width="9.42578125" style="21" bestFit="1" customWidth="1"/>
    <col min="11052" max="11052" width="1.140625" style="21" customWidth="1"/>
    <col min="11053" max="11284" width="9.140625" style="21"/>
    <col min="11285" max="11285" width="2.140625" style="21" customWidth="1"/>
    <col min="11286" max="11286" width="14" style="21" customWidth="1"/>
    <col min="11287" max="11287" width="0.7109375" style="21" customWidth="1"/>
    <col min="11288" max="11288" width="17.140625" style="21" customWidth="1"/>
    <col min="11289" max="11289" width="1.140625" style="21" customWidth="1"/>
    <col min="11290" max="11290" width="18.28515625" style="21" customWidth="1"/>
    <col min="11291" max="11291" width="1" style="21" customWidth="1"/>
    <col min="11292" max="11292" width="39.7109375" style="21" customWidth="1"/>
    <col min="11293" max="11293" width="1" style="21" customWidth="1"/>
    <col min="11294" max="11294" width="12.7109375" style="21" customWidth="1"/>
    <col min="11295" max="11295" width="1.28515625" style="21" customWidth="1"/>
    <col min="11296" max="11296" width="11.42578125" style="21" customWidth="1"/>
    <col min="11297" max="11297" width="1" style="21" customWidth="1"/>
    <col min="11298" max="11298" width="10.42578125" style="21" customWidth="1"/>
    <col min="11299" max="11299" width="0.85546875" style="21" customWidth="1"/>
    <col min="11300" max="11300" width="14" style="21" customWidth="1"/>
    <col min="11301" max="11301" width="0.85546875" style="21" customWidth="1"/>
    <col min="11302" max="11302" width="8.42578125" style="21" customWidth="1"/>
    <col min="11303" max="11303" width="1.7109375" style="21" customWidth="1"/>
    <col min="11304" max="11304" width="9.28515625" style="21" customWidth="1"/>
    <col min="11305" max="11305" width="16" style="21" customWidth="1"/>
    <col min="11306" max="11306" width="0.5703125" style="21" customWidth="1"/>
    <col min="11307" max="11307" width="9.42578125" style="21" bestFit="1" customWidth="1"/>
    <col min="11308" max="11308" width="1.140625" style="21" customWidth="1"/>
    <col min="11309" max="11540" width="9.140625" style="21"/>
    <col min="11541" max="11541" width="2.140625" style="21" customWidth="1"/>
    <col min="11542" max="11542" width="14" style="21" customWidth="1"/>
    <col min="11543" max="11543" width="0.7109375" style="21" customWidth="1"/>
    <col min="11544" max="11544" width="17.140625" style="21" customWidth="1"/>
    <col min="11545" max="11545" width="1.140625" style="21" customWidth="1"/>
    <col min="11546" max="11546" width="18.28515625" style="21" customWidth="1"/>
    <col min="11547" max="11547" width="1" style="21" customWidth="1"/>
    <col min="11548" max="11548" width="39.7109375" style="21" customWidth="1"/>
    <col min="11549" max="11549" width="1" style="21" customWidth="1"/>
    <col min="11550" max="11550" width="12.7109375" style="21" customWidth="1"/>
    <col min="11551" max="11551" width="1.28515625" style="21" customWidth="1"/>
    <col min="11552" max="11552" width="11.42578125" style="21" customWidth="1"/>
    <col min="11553" max="11553" width="1" style="21" customWidth="1"/>
    <col min="11554" max="11554" width="10.42578125" style="21" customWidth="1"/>
    <col min="11555" max="11555" width="0.85546875" style="21" customWidth="1"/>
    <col min="11556" max="11556" width="14" style="21" customWidth="1"/>
    <col min="11557" max="11557" width="0.85546875" style="21" customWidth="1"/>
    <col min="11558" max="11558" width="8.42578125" style="21" customWidth="1"/>
    <col min="11559" max="11559" width="1.7109375" style="21" customWidth="1"/>
    <col min="11560" max="11560" width="9.28515625" style="21" customWidth="1"/>
    <col min="11561" max="11561" width="16" style="21" customWidth="1"/>
    <col min="11562" max="11562" width="0.5703125" style="21" customWidth="1"/>
    <col min="11563" max="11563" width="9.42578125" style="21" bestFit="1" customWidth="1"/>
    <col min="11564" max="11564" width="1.140625" style="21" customWidth="1"/>
    <col min="11565" max="11796" width="9.140625" style="21"/>
    <col min="11797" max="11797" width="2.140625" style="21" customWidth="1"/>
    <col min="11798" max="11798" width="14" style="21" customWidth="1"/>
    <col min="11799" max="11799" width="0.7109375" style="21" customWidth="1"/>
    <col min="11800" max="11800" width="17.140625" style="21" customWidth="1"/>
    <col min="11801" max="11801" width="1.140625" style="21" customWidth="1"/>
    <col min="11802" max="11802" width="18.28515625" style="21" customWidth="1"/>
    <col min="11803" max="11803" width="1" style="21" customWidth="1"/>
    <col min="11804" max="11804" width="39.7109375" style="21" customWidth="1"/>
    <col min="11805" max="11805" width="1" style="21" customWidth="1"/>
    <col min="11806" max="11806" width="12.7109375" style="21" customWidth="1"/>
    <col min="11807" max="11807" width="1.28515625" style="21" customWidth="1"/>
    <col min="11808" max="11808" width="11.42578125" style="21" customWidth="1"/>
    <col min="11809" max="11809" width="1" style="21" customWidth="1"/>
    <col min="11810" max="11810" width="10.42578125" style="21" customWidth="1"/>
    <col min="11811" max="11811" width="0.85546875" style="21" customWidth="1"/>
    <col min="11812" max="11812" width="14" style="21" customWidth="1"/>
    <col min="11813" max="11813" width="0.85546875" style="21" customWidth="1"/>
    <col min="11814" max="11814" width="8.42578125" style="21" customWidth="1"/>
    <col min="11815" max="11815" width="1.7109375" style="21" customWidth="1"/>
    <col min="11816" max="11816" width="9.28515625" style="21" customWidth="1"/>
    <col min="11817" max="11817" width="16" style="21" customWidth="1"/>
    <col min="11818" max="11818" width="0.5703125" style="21" customWidth="1"/>
    <col min="11819" max="11819" width="9.42578125" style="21" bestFit="1" customWidth="1"/>
    <col min="11820" max="11820" width="1.140625" style="21" customWidth="1"/>
    <col min="11821" max="12052" width="9.140625" style="21"/>
    <col min="12053" max="12053" width="2.140625" style="21" customWidth="1"/>
    <col min="12054" max="12054" width="14" style="21" customWidth="1"/>
    <col min="12055" max="12055" width="0.7109375" style="21" customWidth="1"/>
    <col min="12056" max="12056" width="17.140625" style="21" customWidth="1"/>
    <col min="12057" max="12057" width="1.140625" style="21" customWidth="1"/>
    <col min="12058" max="12058" width="18.28515625" style="21" customWidth="1"/>
    <col min="12059" max="12059" width="1" style="21" customWidth="1"/>
    <col min="12060" max="12060" width="39.7109375" style="21" customWidth="1"/>
    <col min="12061" max="12061" width="1" style="21" customWidth="1"/>
    <col min="12062" max="12062" width="12.7109375" style="21" customWidth="1"/>
    <col min="12063" max="12063" width="1.28515625" style="21" customWidth="1"/>
    <col min="12064" max="12064" width="11.42578125" style="21" customWidth="1"/>
    <col min="12065" max="12065" width="1" style="21" customWidth="1"/>
    <col min="12066" max="12066" width="10.42578125" style="21" customWidth="1"/>
    <col min="12067" max="12067" width="0.85546875" style="21" customWidth="1"/>
    <col min="12068" max="12068" width="14" style="21" customWidth="1"/>
    <col min="12069" max="12069" width="0.85546875" style="21" customWidth="1"/>
    <col min="12070" max="12070" width="8.42578125" style="21" customWidth="1"/>
    <col min="12071" max="12071" width="1.7109375" style="21" customWidth="1"/>
    <col min="12072" max="12072" width="9.28515625" style="21" customWidth="1"/>
    <col min="12073" max="12073" width="16" style="21" customWidth="1"/>
    <col min="12074" max="12074" width="0.5703125" style="21" customWidth="1"/>
    <col min="12075" max="12075" width="9.42578125" style="21" bestFit="1" customWidth="1"/>
    <col min="12076" max="12076" width="1.140625" style="21" customWidth="1"/>
    <col min="12077" max="12308" width="9.140625" style="21"/>
    <col min="12309" max="12309" width="2.140625" style="21" customWidth="1"/>
    <col min="12310" max="12310" width="14" style="21" customWidth="1"/>
    <col min="12311" max="12311" width="0.7109375" style="21" customWidth="1"/>
    <col min="12312" max="12312" width="17.140625" style="21" customWidth="1"/>
    <col min="12313" max="12313" width="1.140625" style="21" customWidth="1"/>
    <col min="12314" max="12314" width="18.28515625" style="21" customWidth="1"/>
    <col min="12315" max="12315" width="1" style="21" customWidth="1"/>
    <col min="12316" max="12316" width="39.7109375" style="21" customWidth="1"/>
    <col min="12317" max="12317" width="1" style="21" customWidth="1"/>
    <col min="12318" max="12318" width="12.7109375" style="21" customWidth="1"/>
    <col min="12319" max="12319" width="1.28515625" style="21" customWidth="1"/>
    <col min="12320" max="12320" width="11.42578125" style="21" customWidth="1"/>
    <col min="12321" max="12321" width="1" style="21" customWidth="1"/>
    <col min="12322" max="12322" width="10.42578125" style="21" customWidth="1"/>
    <col min="12323" max="12323" width="0.85546875" style="21" customWidth="1"/>
    <col min="12324" max="12324" width="14" style="21" customWidth="1"/>
    <col min="12325" max="12325" width="0.85546875" style="21" customWidth="1"/>
    <col min="12326" max="12326" width="8.42578125" style="21" customWidth="1"/>
    <col min="12327" max="12327" width="1.7109375" style="21" customWidth="1"/>
    <col min="12328" max="12328" width="9.28515625" style="21" customWidth="1"/>
    <col min="12329" max="12329" width="16" style="21" customWidth="1"/>
    <col min="12330" max="12330" width="0.5703125" style="21" customWidth="1"/>
    <col min="12331" max="12331" width="9.42578125" style="21" bestFit="1" customWidth="1"/>
    <col min="12332" max="12332" width="1.140625" style="21" customWidth="1"/>
    <col min="12333" max="12564" width="9.140625" style="21"/>
    <col min="12565" max="12565" width="2.140625" style="21" customWidth="1"/>
    <col min="12566" max="12566" width="14" style="21" customWidth="1"/>
    <col min="12567" max="12567" width="0.7109375" style="21" customWidth="1"/>
    <col min="12568" max="12568" width="17.140625" style="21" customWidth="1"/>
    <col min="12569" max="12569" width="1.140625" style="21" customWidth="1"/>
    <col min="12570" max="12570" width="18.28515625" style="21" customWidth="1"/>
    <col min="12571" max="12571" width="1" style="21" customWidth="1"/>
    <col min="12572" max="12572" width="39.7109375" style="21" customWidth="1"/>
    <col min="12573" max="12573" width="1" style="21" customWidth="1"/>
    <col min="12574" max="12574" width="12.7109375" style="21" customWidth="1"/>
    <col min="12575" max="12575" width="1.28515625" style="21" customWidth="1"/>
    <col min="12576" max="12576" width="11.42578125" style="21" customWidth="1"/>
    <col min="12577" max="12577" width="1" style="21" customWidth="1"/>
    <col min="12578" max="12578" width="10.42578125" style="21" customWidth="1"/>
    <col min="12579" max="12579" width="0.85546875" style="21" customWidth="1"/>
    <col min="12580" max="12580" width="14" style="21" customWidth="1"/>
    <col min="12581" max="12581" width="0.85546875" style="21" customWidth="1"/>
    <col min="12582" max="12582" width="8.42578125" style="21" customWidth="1"/>
    <col min="12583" max="12583" width="1.7109375" style="21" customWidth="1"/>
    <col min="12584" max="12584" width="9.28515625" style="21" customWidth="1"/>
    <col min="12585" max="12585" width="16" style="21" customWidth="1"/>
    <col min="12586" max="12586" width="0.5703125" style="21" customWidth="1"/>
    <col min="12587" max="12587" width="9.42578125" style="21" bestFit="1" customWidth="1"/>
    <col min="12588" max="12588" width="1.140625" style="21" customWidth="1"/>
    <col min="12589" max="12820" width="9.140625" style="21"/>
    <col min="12821" max="12821" width="2.140625" style="21" customWidth="1"/>
    <col min="12822" max="12822" width="14" style="21" customWidth="1"/>
    <col min="12823" max="12823" width="0.7109375" style="21" customWidth="1"/>
    <col min="12824" max="12824" width="17.140625" style="21" customWidth="1"/>
    <col min="12825" max="12825" width="1.140625" style="21" customWidth="1"/>
    <col min="12826" max="12826" width="18.28515625" style="21" customWidth="1"/>
    <col min="12827" max="12827" width="1" style="21" customWidth="1"/>
    <col min="12828" max="12828" width="39.7109375" style="21" customWidth="1"/>
    <col min="12829" max="12829" width="1" style="21" customWidth="1"/>
    <col min="12830" max="12830" width="12.7109375" style="21" customWidth="1"/>
    <col min="12831" max="12831" width="1.28515625" style="21" customWidth="1"/>
    <col min="12832" max="12832" width="11.42578125" style="21" customWidth="1"/>
    <col min="12833" max="12833" width="1" style="21" customWidth="1"/>
    <col min="12834" max="12834" width="10.42578125" style="21" customWidth="1"/>
    <col min="12835" max="12835" width="0.85546875" style="21" customWidth="1"/>
    <col min="12836" max="12836" width="14" style="21" customWidth="1"/>
    <col min="12837" max="12837" width="0.85546875" style="21" customWidth="1"/>
    <col min="12838" max="12838" width="8.42578125" style="21" customWidth="1"/>
    <col min="12839" max="12839" width="1.7109375" style="21" customWidth="1"/>
    <col min="12840" max="12840" width="9.28515625" style="21" customWidth="1"/>
    <col min="12841" max="12841" width="16" style="21" customWidth="1"/>
    <col min="12842" max="12842" width="0.5703125" style="21" customWidth="1"/>
    <col min="12843" max="12843" width="9.42578125" style="21" bestFit="1" customWidth="1"/>
    <col min="12844" max="12844" width="1.140625" style="21" customWidth="1"/>
    <col min="12845" max="13076" width="9.140625" style="21"/>
    <col min="13077" max="13077" width="2.140625" style="21" customWidth="1"/>
    <col min="13078" max="13078" width="14" style="21" customWidth="1"/>
    <col min="13079" max="13079" width="0.7109375" style="21" customWidth="1"/>
    <col min="13080" max="13080" width="17.140625" style="21" customWidth="1"/>
    <col min="13081" max="13081" width="1.140625" style="21" customWidth="1"/>
    <col min="13082" max="13082" width="18.28515625" style="21" customWidth="1"/>
    <col min="13083" max="13083" width="1" style="21" customWidth="1"/>
    <col min="13084" max="13084" width="39.7109375" style="21" customWidth="1"/>
    <col min="13085" max="13085" width="1" style="21" customWidth="1"/>
    <col min="13086" max="13086" width="12.7109375" style="21" customWidth="1"/>
    <col min="13087" max="13087" width="1.28515625" style="21" customWidth="1"/>
    <col min="13088" max="13088" width="11.42578125" style="21" customWidth="1"/>
    <col min="13089" max="13089" width="1" style="21" customWidth="1"/>
    <col min="13090" max="13090" width="10.42578125" style="21" customWidth="1"/>
    <col min="13091" max="13091" width="0.85546875" style="21" customWidth="1"/>
    <col min="13092" max="13092" width="14" style="21" customWidth="1"/>
    <col min="13093" max="13093" width="0.85546875" style="21" customWidth="1"/>
    <col min="13094" max="13094" width="8.42578125" style="21" customWidth="1"/>
    <col min="13095" max="13095" width="1.7109375" style="21" customWidth="1"/>
    <col min="13096" max="13096" width="9.28515625" style="21" customWidth="1"/>
    <col min="13097" max="13097" width="16" style="21" customWidth="1"/>
    <col min="13098" max="13098" width="0.5703125" style="21" customWidth="1"/>
    <col min="13099" max="13099" width="9.42578125" style="21" bestFit="1" customWidth="1"/>
    <col min="13100" max="13100" width="1.140625" style="21" customWidth="1"/>
    <col min="13101" max="13332" width="9.140625" style="21"/>
    <col min="13333" max="13333" width="2.140625" style="21" customWidth="1"/>
    <col min="13334" max="13334" width="14" style="21" customWidth="1"/>
    <col min="13335" max="13335" width="0.7109375" style="21" customWidth="1"/>
    <col min="13336" max="13336" width="17.140625" style="21" customWidth="1"/>
    <col min="13337" max="13337" width="1.140625" style="21" customWidth="1"/>
    <col min="13338" max="13338" width="18.28515625" style="21" customWidth="1"/>
    <col min="13339" max="13339" width="1" style="21" customWidth="1"/>
    <col min="13340" max="13340" width="39.7109375" style="21" customWidth="1"/>
    <col min="13341" max="13341" width="1" style="21" customWidth="1"/>
    <col min="13342" max="13342" width="12.7109375" style="21" customWidth="1"/>
    <col min="13343" max="13343" width="1.28515625" style="21" customWidth="1"/>
    <col min="13344" max="13344" width="11.42578125" style="21" customWidth="1"/>
    <col min="13345" max="13345" width="1" style="21" customWidth="1"/>
    <col min="13346" max="13346" width="10.42578125" style="21" customWidth="1"/>
    <col min="13347" max="13347" width="0.85546875" style="21" customWidth="1"/>
    <col min="13348" max="13348" width="14" style="21" customWidth="1"/>
    <col min="13349" max="13349" width="0.85546875" style="21" customWidth="1"/>
    <col min="13350" max="13350" width="8.42578125" style="21" customWidth="1"/>
    <col min="13351" max="13351" width="1.7109375" style="21" customWidth="1"/>
    <col min="13352" max="13352" width="9.28515625" style="21" customWidth="1"/>
    <col min="13353" max="13353" width="16" style="21" customWidth="1"/>
    <col min="13354" max="13354" width="0.5703125" style="21" customWidth="1"/>
    <col min="13355" max="13355" width="9.42578125" style="21" bestFit="1" customWidth="1"/>
    <col min="13356" max="13356" width="1.140625" style="21" customWidth="1"/>
    <col min="13357" max="13588" width="9.140625" style="21"/>
    <col min="13589" max="13589" width="2.140625" style="21" customWidth="1"/>
    <col min="13590" max="13590" width="14" style="21" customWidth="1"/>
    <col min="13591" max="13591" width="0.7109375" style="21" customWidth="1"/>
    <col min="13592" max="13592" width="17.140625" style="21" customWidth="1"/>
    <col min="13593" max="13593" width="1.140625" style="21" customWidth="1"/>
    <col min="13594" max="13594" width="18.28515625" style="21" customWidth="1"/>
    <col min="13595" max="13595" width="1" style="21" customWidth="1"/>
    <col min="13596" max="13596" width="39.7109375" style="21" customWidth="1"/>
    <col min="13597" max="13597" width="1" style="21" customWidth="1"/>
    <col min="13598" max="13598" width="12.7109375" style="21" customWidth="1"/>
    <col min="13599" max="13599" width="1.28515625" style="21" customWidth="1"/>
    <col min="13600" max="13600" width="11.42578125" style="21" customWidth="1"/>
    <col min="13601" max="13601" width="1" style="21" customWidth="1"/>
    <col min="13602" max="13602" width="10.42578125" style="21" customWidth="1"/>
    <col min="13603" max="13603" width="0.85546875" style="21" customWidth="1"/>
    <col min="13604" max="13604" width="14" style="21" customWidth="1"/>
    <col min="13605" max="13605" width="0.85546875" style="21" customWidth="1"/>
    <col min="13606" max="13606" width="8.42578125" style="21" customWidth="1"/>
    <col min="13607" max="13607" width="1.7109375" style="21" customWidth="1"/>
    <col min="13608" max="13608" width="9.28515625" style="21" customWidth="1"/>
    <col min="13609" max="13609" width="16" style="21" customWidth="1"/>
    <col min="13610" max="13610" width="0.5703125" style="21" customWidth="1"/>
    <col min="13611" max="13611" width="9.42578125" style="21" bestFit="1" customWidth="1"/>
    <col min="13612" max="13612" width="1.140625" style="21" customWidth="1"/>
    <col min="13613" max="13844" width="9.140625" style="21"/>
    <col min="13845" max="13845" width="2.140625" style="21" customWidth="1"/>
    <col min="13846" max="13846" width="14" style="21" customWidth="1"/>
    <col min="13847" max="13847" width="0.7109375" style="21" customWidth="1"/>
    <col min="13848" max="13848" width="17.140625" style="21" customWidth="1"/>
    <col min="13849" max="13849" width="1.140625" style="21" customWidth="1"/>
    <col min="13850" max="13850" width="18.28515625" style="21" customWidth="1"/>
    <col min="13851" max="13851" width="1" style="21" customWidth="1"/>
    <col min="13852" max="13852" width="39.7109375" style="21" customWidth="1"/>
    <col min="13853" max="13853" width="1" style="21" customWidth="1"/>
    <col min="13854" max="13854" width="12.7109375" style="21" customWidth="1"/>
    <col min="13855" max="13855" width="1.28515625" style="21" customWidth="1"/>
    <col min="13856" max="13856" width="11.42578125" style="21" customWidth="1"/>
    <col min="13857" max="13857" width="1" style="21" customWidth="1"/>
    <col min="13858" max="13858" width="10.42578125" style="21" customWidth="1"/>
    <col min="13859" max="13859" width="0.85546875" style="21" customWidth="1"/>
    <col min="13860" max="13860" width="14" style="21" customWidth="1"/>
    <col min="13861" max="13861" width="0.85546875" style="21" customWidth="1"/>
    <col min="13862" max="13862" width="8.42578125" style="21" customWidth="1"/>
    <col min="13863" max="13863" width="1.7109375" style="21" customWidth="1"/>
    <col min="13864" max="13864" width="9.28515625" style="21" customWidth="1"/>
    <col min="13865" max="13865" width="16" style="21" customWidth="1"/>
    <col min="13866" max="13866" width="0.5703125" style="21" customWidth="1"/>
    <col min="13867" max="13867" width="9.42578125" style="21" bestFit="1" customWidth="1"/>
    <col min="13868" max="13868" width="1.140625" style="21" customWidth="1"/>
    <col min="13869" max="14100" width="9.140625" style="21"/>
    <col min="14101" max="14101" width="2.140625" style="21" customWidth="1"/>
    <col min="14102" max="14102" width="14" style="21" customWidth="1"/>
    <col min="14103" max="14103" width="0.7109375" style="21" customWidth="1"/>
    <col min="14104" max="14104" width="17.140625" style="21" customWidth="1"/>
    <col min="14105" max="14105" width="1.140625" style="21" customWidth="1"/>
    <col min="14106" max="14106" width="18.28515625" style="21" customWidth="1"/>
    <col min="14107" max="14107" width="1" style="21" customWidth="1"/>
    <col min="14108" max="14108" width="39.7109375" style="21" customWidth="1"/>
    <col min="14109" max="14109" width="1" style="21" customWidth="1"/>
    <col min="14110" max="14110" width="12.7109375" style="21" customWidth="1"/>
    <col min="14111" max="14111" width="1.28515625" style="21" customWidth="1"/>
    <col min="14112" max="14112" width="11.42578125" style="21" customWidth="1"/>
    <col min="14113" max="14113" width="1" style="21" customWidth="1"/>
    <col min="14114" max="14114" width="10.42578125" style="21" customWidth="1"/>
    <col min="14115" max="14115" width="0.85546875" style="21" customWidth="1"/>
    <col min="14116" max="14116" width="14" style="21" customWidth="1"/>
    <col min="14117" max="14117" width="0.85546875" style="21" customWidth="1"/>
    <col min="14118" max="14118" width="8.42578125" style="21" customWidth="1"/>
    <col min="14119" max="14119" width="1.7109375" style="21" customWidth="1"/>
    <col min="14120" max="14120" width="9.28515625" style="21" customWidth="1"/>
    <col min="14121" max="14121" width="16" style="21" customWidth="1"/>
    <col min="14122" max="14122" width="0.5703125" style="21" customWidth="1"/>
    <col min="14123" max="14123" width="9.42578125" style="21" bestFit="1" customWidth="1"/>
    <col min="14124" max="14124" width="1.140625" style="21" customWidth="1"/>
    <col min="14125" max="14356" width="9.140625" style="21"/>
    <col min="14357" max="14357" width="2.140625" style="21" customWidth="1"/>
    <col min="14358" max="14358" width="14" style="21" customWidth="1"/>
    <col min="14359" max="14359" width="0.7109375" style="21" customWidth="1"/>
    <col min="14360" max="14360" width="17.140625" style="21" customWidth="1"/>
    <col min="14361" max="14361" width="1.140625" style="21" customWidth="1"/>
    <col min="14362" max="14362" width="18.28515625" style="21" customWidth="1"/>
    <col min="14363" max="14363" width="1" style="21" customWidth="1"/>
    <col min="14364" max="14364" width="39.7109375" style="21" customWidth="1"/>
    <col min="14365" max="14365" width="1" style="21" customWidth="1"/>
    <col min="14366" max="14366" width="12.7109375" style="21" customWidth="1"/>
    <col min="14367" max="14367" width="1.28515625" style="21" customWidth="1"/>
    <col min="14368" max="14368" width="11.42578125" style="21" customWidth="1"/>
    <col min="14369" max="14369" width="1" style="21" customWidth="1"/>
    <col min="14370" max="14370" width="10.42578125" style="21" customWidth="1"/>
    <col min="14371" max="14371" width="0.85546875" style="21" customWidth="1"/>
    <col min="14372" max="14372" width="14" style="21" customWidth="1"/>
    <col min="14373" max="14373" width="0.85546875" style="21" customWidth="1"/>
    <col min="14374" max="14374" width="8.42578125" style="21" customWidth="1"/>
    <col min="14375" max="14375" width="1.7109375" style="21" customWidth="1"/>
    <col min="14376" max="14376" width="9.28515625" style="21" customWidth="1"/>
    <col min="14377" max="14377" width="16" style="21" customWidth="1"/>
    <col min="14378" max="14378" width="0.5703125" style="21" customWidth="1"/>
    <col min="14379" max="14379" width="9.42578125" style="21" bestFit="1" customWidth="1"/>
    <col min="14380" max="14380" width="1.140625" style="21" customWidth="1"/>
    <col min="14381" max="14612" width="9.140625" style="21"/>
    <col min="14613" max="14613" width="2.140625" style="21" customWidth="1"/>
    <col min="14614" max="14614" width="14" style="21" customWidth="1"/>
    <col min="14615" max="14615" width="0.7109375" style="21" customWidth="1"/>
    <col min="14616" max="14616" width="17.140625" style="21" customWidth="1"/>
    <col min="14617" max="14617" width="1.140625" style="21" customWidth="1"/>
    <col min="14618" max="14618" width="18.28515625" style="21" customWidth="1"/>
    <col min="14619" max="14619" width="1" style="21" customWidth="1"/>
    <col min="14620" max="14620" width="39.7109375" style="21" customWidth="1"/>
    <col min="14621" max="14621" width="1" style="21" customWidth="1"/>
    <col min="14622" max="14622" width="12.7109375" style="21" customWidth="1"/>
    <col min="14623" max="14623" width="1.28515625" style="21" customWidth="1"/>
    <col min="14624" max="14624" width="11.42578125" style="21" customWidth="1"/>
    <col min="14625" max="14625" width="1" style="21" customWidth="1"/>
    <col min="14626" max="14626" width="10.42578125" style="21" customWidth="1"/>
    <col min="14627" max="14627" width="0.85546875" style="21" customWidth="1"/>
    <col min="14628" max="14628" width="14" style="21" customWidth="1"/>
    <col min="14629" max="14629" width="0.85546875" style="21" customWidth="1"/>
    <col min="14630" max="14630" width="8.42578125" style="21" customWidth="1"/>
    <col min="14631" max="14631" width="1.7109375" style="21" customWidth="1"/>
    <col min="14632" max="14632" width="9.28515625" style="21" customWidth="1"/>
    <col min="14633" max="14633" width="16" style="21" customWidth="1"/>
    <col min="14634" max="14634" width="0.5703125" style="21" customWidth="1"/>
    <col min="14635" max="14635" width="9.42578125" style="21" bestFit="1" customWidth="1"/>
    <col min="14636" max="14636" width="1.140625" style="21" customWidth="1"/>
    <col min="14637" max="14868" width="9.140625" style="21"/>
    <col min="14869" max="14869" width="2.140625" style="21" customWidth="1"/>
    <col min="14870" max="14870" width="14" style="21" customWidth="1"/>
    <col min="14871" max="14871" width="0.7109375" style="21" customWidth="1"/>
    <col min="14872" max="14872" width="17.140625" style="21" customWidth="1"/>
    <col min="14873" max="14873" width="1.140625" style="21" customWidth="1"/>
    <col min="14874" max="14874" width="18.28515625" style="21" customWidth="1"/>
    <col min="14875" max="14875" width="1" style="21" customWidth="1"/>
    <col min="14876" max="14876" width="39.7109375" style="21" customWidth="1"/>
    <col min="14877" max="14877" width="1" style="21" customWidth="1"/>
    <col min="14878" max="14878" width="12.7109375" style="21" customWidth="1"/>
    <col min="14879" max="14879" width="1.28515625" style="21" customWidth="1"/>
    <col min="14880" max="14880" width="11.42578125" style="21" customWidth="1"/>
    <col min="14881" max="14881" width="1" style="21" customWidth="1"/>
    <col min="14882" max="14882" width="10.42578125" style="21" customWidth="1"/>
    <col min="14883" max="14883" width="0.85546875" style="21" customWidth="1"/>
    <col min="14884" max="14884" width="14" style="21" customWidth="1"/>
    <col min="14885" max="14885" width="0.85546875" style="21" customWidth="1"/>
    <col min="14886" max="14886" width="8.42578125" style="21" customWidth="1"/>
    <col min="14887" max="14887" width="1.7109375" style="21" customWidth="1"/>
    <col min="14888" max="14888" width="9.28515625" style="21" customWidth="1"/>
    <col min="14889" max="14889" width="16" style="21" customWidth="1"/>
    <col min="14890" max="14890" width="0.5703125" style="21" customWidth="1"/>
    <col min="14891" max="14891" width="9.42578125" style="21" bestFit="1" customWidth="1"/>
    <col min="14892" max="14892" width="1.140625" style="21" customWidth="1"/>
    <col min="14893" max="15124" width="9.140625" style="21"/>
    <col min="15125" max="15125" width="2.140625" style="21" customWidth="1"/>
    <col min="15126" max="15126" width="14" style="21" customWidth="1"/>
    <col min="15127" max="15127" width="0.7109375" style="21" customWidth="1"/>
    <col min="15128" max="15128" width="17.140625" style="21" customWidth="1"/>
    <col min="15129" max="15129" width="1.140625" style="21" customWidth="1"/>
    <col min="15130" max="15130" width="18.28515625" style="21" customWidth="1"/>
    <col min="15131" max="15131" width="1" style="21" customWidth="1"/>
    <col min="15132" max="15132" width="39.7109375" style="21" customWidth="1"/>
    <col min="15133" max="15133" width="1" style="21" customWidth="1"/>
    <col min="15134" max="15134" width="12.7109375" style="21" customWidth="1"/>
    <col min="15135" max="15135" width="1.28515625" style="21" customWidth="1"/>
    <col min="15136" max="15136" width="11.42578125" style="21" customWidth="1"/>
    <col min="15137" max="15137" width="1" style="21" customWidth="1"/>
    <col min="15138" max="15138" width="10.42578125" style="21" customWidth="1"/>
    <col min="15139" max="15139" width="0.85546875" style="21" customWidth="1"/>
    <col min="15140" max="15140" width="14" style="21" customWidth="1"/>
    <col min="15141" max="15141" width="0.85546875" style="21" customWidth="1"/>
    <col min="15142" max="15142" width="8.42578125" style="21" customWidth="1"/>
    <col min="15143" max="15143" width="1.7109375" style="21" customWidth="1"/>
    <col min="15144" max="15144" width="9.28515625" style="21" customWidth="1"/>
    <col min="15145" max="15145" width="16" style="21" customWidth="1"/>
    <col min="15146" max="15146" width="0.5703125" style="21" customWidth="1"/>
    <col min="15147" max="15147" width="9.42578125" style="21" bestFit="1" customWidth="1"/>
    <col min="15148" max="15148" width="1.140625" style="21" customWidth="1"/>
    <col min="15149" max="15380" width="9.140625" style="21"/>
    <col min="15381" max="15381" width="2.140625" style="21" customWidth="1"/>
    <col min="15382" max="15382" width="14" style="21" customWidth="1"/>
    <col min="15383" max="15383" width="0.7109375" style="21" customWidth="1"/>
    <col min="15384" max="15384" width="17.140625" style="21" customWidth="1"/>
    <col min="15385" max="15385" width="1.140625" style="21" customWidth="1"/>
    <col min="15386" max="15386" width="18.28515625" style="21" customWidth="1"/>
    <col min="15387" max="15387" width="1" style="21" customWidth="1"/>
    <col min="15388" max="15388" width="39.7109375" style="21" customWidth="1"/>
    <col min="15389" max="15389" width="1" style="21" customWidth="1"/>
    <col min="15390" max="15390" width="12.7109375" style="21" customWidth="1"/>
    <col min="15391" max="15391" width="1.28515625" style="21" customWidth="1"/>
    <col min="15392" max="15392" width="11.42578125" style="21" customWidth="1"/>
    <col min="15393" max="15393" width="1" style="21" customWidth="1"/>
    <col min="15394" max="15394" width="10.42578125" style="21" customWidth="1"/>
    <col min="15395" max="15395" width="0.85546875" style="21" customWidth="1"/>
    <col min="15396" max="15396" width="14" style="21" customWidth="1"/>
    <col min="15397" max="15397" width="0.85546875" style="21" customWidth="1"/>
    <col min="15398" max="15398" width="8.42578125" style="21" customWidth="1"/>
    <col min="15399" max="15399" width="1.7109375" style="21" customWidth="1"/>
    <col min="15400" max="15400" width="9.28515625" style="21" customWidth="1"/>
    <col min="15401" max="15401" width="16" style="21" customWidth="1"/>
    <col min="15402" max="15402" width="0.5703125" style="21" customWidth="1"/>
    <col min="15403" max="15403" width="9.42578125" style="21" bestFit="1" customWidth="1"/>
    <col min="15404" max="15404" width="1.140625" style="21" customWidth="1"/>
    <col min="15405" max="15636" width="9.140625" style="21"/>
    <col min="15637" max="15637" width="2.140625" style="21" customWidth="1"/>
    <col min="15638" max="15638" width="14" style="21" customWidth="1"/>
    <col min="15639" max="15639" width="0.7109375" style="21" customWidth="1"/>
    <col min="15640" max="15640" width="17.140625" style="21" customWidth="1"/>
    <col min="15641" max="15641" width="1.140625" style="21" customWidth="1"/>
    <col min="15642" max="15642" width="18.28515625" style="21" customWidth="1"/>
    <col min="15643" max="15643" width="1" style="21" customWidth="1"/>
    <col min="15644" max="15644" width="39.7109375" style="21" customWidth="1"/>
    <col min="15645" max="15645" width="1" style="21" customWidth="1"/>
    <col min="15646" max="15646" width="12.7109375" style="21" customWidth="1"/>
    <col min="15647" max="15647" width="1.28515625" style="21" customWidth="1"/>
    <col min="15648" max="15648" width="11.42578125" style="21" customWidth="1"/>
    <col min="15649" max="15649" width="1" style="21" customWidth="1"/>
    <col min="15650" max="15650" width="10.42578125" style="21" customWidth="1"/>
    <col min="15651" max="15651" width="0.85546875" style="21" customWidth="1"/>
    <col min="15652" max="15652" width="14" style="21" customWidth="1"/>
    <col min="15653" max="15653" width="0.85546875" style="21" customWidth="1"/>
    <col min="15654" max="15654" width="8.42578125" style="21" customWidth="1"/>
    <col min="15655" max="15655" width="1.7109375" style="21" customWidth="1"/>
    <col min="15656" max="15656" width="9.28515625" style="21" customWidth="1"/>
    <col min="15657" max="15657" width="16" style="21" customWidth="1"/>
    <col min="15658" max="15658" width="0.5703125" style="21" customWidth="1"/>
    <col min="15659" max="15659" width="9.42578125" style="21" bestFit="1" customWidth="1"/>
    <col min="15660" max="15660" width="1.140625" style="21" customWidth="1"/>
    <col min="15661" max="15892" width="9.140625" style="21"/>
    <col min="15893" max="15893" width="2.140625" style="21" customWidth="1"/>
    <col min="15894" max="15894" width="14" style="21" customWidth="1"/>
    <col min="15895" max="15895" width="0.7109375" style="21" customWidth="1"/>
    <col min="15896" max="15896" width="17.140625" style="21" customWidth="1"/>
    <col min="15897" max="15897" width="1.140625" style="21" customWidth="1"/>
    <col min="15898" max="15898" width="18.28515625" style="21" customWidth="1"/>
    <col min="15899" max="15899" width="1" style="21" customWidth="1"/>
    <col min="15900" max="15900" width="39.7109375" style="21" customWidth="1"/>
    <col min="15901" max="15901" width="1" style="21" customWidth="1"/>
    <col min="15902" max="15902" width="12.7109375" style="21" customWidth="1"/>
    <col min="15903" max="15903" width="1.28515625" style="21" customWidth="1"/>
    <col min="15904" max="15904" width="11.42578125" style="21" customWidth="1"/>
    <col min="15905" max="15905" width="1" style="21" customWidth="1"/>
    <col min="15906" max="15906" width="10.42578125" style="21" customWidth="1"/>
    <col min="15907" max="15907" width="0.85546875" style="21" customWidth="1"/>
    <col min="15908" max="15908" width="14" style="21" customWidth="1"/>
    <col min="15909" max="15909" width="0.85546875" style="21" customWidth="1"/>
    <col min="15910" max="15910" width="8.42578125" style="21" customWidth="1"/>
    <col min="15911" max="15911" width="1.7109375" style="21" customWidth="1"/>
    <col min="15912" max="15912" width="9.28515625" style="21" customWidth="1"/>
    <col min="15913" max="15913" width="16" style="21" customWidth="1"/>
    <col min="15914" max="15914" width="0.5703125" style="21" customWidth="1"/>
    <col min="15915" max="15915" width="9.42578125" style="21" bestFit="1" customWidth="1"/>
    <col min="15916" max="15916" width="1.140625" style="21" customWidth="1"/>
    <col min="15917" max="16148" width="9.140625" style="21"/>
    <col min="16149" max="16149" width="2.140625" style="21" customWidth="1"/>
    <col min="16150" max="16150" width="14" style="21" customWidth="1"/>
    <col min="16151" max="16151" width="0.7109375" style="21" customWidth="1"/>
    <col min="16152" max="16152" width="17.140625" style="21" customWidth="1"/>
    <col min="16153" max="16153" width="1.140625" style="21" customWidth="1"/>
    <col min="16154" max="16154" width="18.28515625" style="21" customWidth="1"/>
    <col min="16155" max="16155" width="1" style="21" customWidth="1"/>
    <col min="16156" max="16156" width="39.7109375" style="21" customWidth="1"/>
    <col min="16157" max="16157" width="1" style="21" customWidth="1"/>
    <col min="16158" max="16158" width="12.7109375" style="21" customWidth="1"/>
    <col min="16159" max="16159" width="1.28515625" style="21" customWidth="1"/>
    <col min="16160" max="16160" width="11.42578125" style="21" customWidth="1"/>
    <col min="16161" max="16161" width="1" style="21" customWidth="1"/>
    <col min="16162" max="16162" width="10.42578125" style="21" customWidth="1"/>
    <col min="16163" max="16163" width="0.85546875" style="21" customWidth="1"/>
    <col min="16164" max="16164" width="14" style="21" customWidth="1"/>
    <col min="16165" max="16165" width="0.85546875" style="21" customWidth="1"/>
    <col min="16166" max="16166" width="8.42578125" style="21" customWidth="1"/>
    <col min="16167" max="16167" width="1.7109375" style="21" customWidth="1"/>
    <col min="16168" max="16168" width="9.28515625" style="21" customWidth="1"/>
    <col min="16169" max="16169" width="16" style="21" customWidth="1"/>
    <col min="16170" max="16170" width="0.5703125" style="21" customWidth="1"/>
    <col min="16171" max="16171" width="9.42578125" style="21" bestFit="1" customWidth="1"/>
    <col min="16172" max="16172" width="1.140625" style="21" customWidth="1"/>
    <col min="16173" max="16384" width="9.140625" style="21"/>
  </cols>
  <sheetData>
    <row r="1" spans="1:177" ht="48" x14ac:dyDescent="0.2">
      <c r="A1" s="116" t="s">
        <v>9</v>
      </c>
      <c r="B1" s="115"/>
      <c r="C1" s="116" t="s">
        <v>39</v>
      </c>
      <c r="D1" s="115"/>
      <c r="E1" s="117" t="s">
        <v>0</v>
      </c>
      <c r="F1" s="116"/>
      <c r="G1" s="117" t="s">
        <v>1</v>
      </c>
      <c r="H1" s="116"/>
      <c r="I1" s="118" t="s">
        <v>4</v>
      </c>
      <c r="J1" s="115"/>
      <c r="K1" s="116" t="s">
        <v>2</v>
      </c>
      <c r="L1" s="115"/>
      <c r="M1" s="116" t="s">
        <v>7</v>
      </c>
      <c r="N1" s="115"/>
      <c r="O1" s="116" t="s">
        <v>8</v>
      </c>
      <c r="P1" s="116" t="s">
        <v>23</v>
      </c>
      <c r="Q1" s="119" t="s">
        <v>5</v>
      </c>
      <c r="R1" s="115"/>
      <c r="S1" s="39" t="s">
        <v>6</v>
      </c>
      <c r="T1" s="115"/>
      <c r="U1" s="147" t="s">
        <v>560</v>
      </c>
      <c r="V1" s="115"/>
      <c r="W1" s="62" t="s">
        <v>561</v>
      </c>
      <c r="X1" s="147" t="s">
        <v>676</v>
      </c>
      <c r="Y1" s="198"/>
      <c r="Z1" s="62" t="s">
        <v>677</v>
      </c>
      <c r="AA1" s="198"/>
      <c r="AB1" s="147" t="s">
        <v>678</v>
      </c>
      <c r="AC1" s="198"/>
      <c r="AD1" s="62" t="s">
        <v>679</v>
      </c>
      <c r="AE1" s="147" t="s">
        <v>680</v>
      </c>
      <c r="AF1" s="198"/>
      <c r="AG1" s="62" t="s">
        <v>681</v>
      </c>
      <c r="AH1" s="147" t="s">
        <v>773</v>
      </c>
      <c r="AI1" s="198"/>
      <c r="AJ1" s="62" t="s">
        <v>774</v>
      </c>
      <c r="AK1" s="147" t="s">
        <v>775</v>
      </c>
      <c r="AL1" s="198"/>
      <c r="AM1" s="62" t="s">
        <v>776</v>
      </c>
      <c r="AN1" s="115"/>
      <c r="AO1" s="147" t="s">
        <v>871</v>
      </c>
      <c r="AP1" s="62" t="s">
        <v>872</v>
      </c>
      <c r="AQ1" s="116"/>
      <c r="AR1" s="147" t="s">
        <v>873</v>
      </c>
      <c r="AS1" s="62" t="s">
        <v>874</v>
      </c>
      <c r="AT1" s="62"/>
      <c r="AU1" s="293" t="s">
        <v>24</v>
      </c>
      <c r="AV1" s="293"/>
      <c r="AW1" s="294" t="s">
        <v>3</v>
      </c>
      <c r="AX1" s="22"/>
      <c r="AY1" s="22"/>
      <c r="AZ1" s="22"/>
      <c r="BA1" s="22"/>
    </row>
    <row r="2" spans="1:177" ht="40.15" customHeight="1" x14ac:dyDescent="0.2">
      <c r="A2" s="305" t="s">
        <v>40</v>
      </c>
      <c r="B2" s="121"/>
      <c r="C2" s="123" t="s">
        <v>305</v>
      </c>
      <c r="D2" s="159"/>
      <c r="E2" s="123" t="s">
        <v>306</v>
      </c>
      <c r="F2" s="122"/>
      <c r="G2" s="123" t="s">
        <v>307</v>
      </c>
      <c r="H2" s="122"/>
      <c r="I2" s="104">
        <v>85</v>
      </c>
      <c r="J2" s="159"/>
      <c r="K2" s="122" t="s">
        <v>20</v>
      </c>
      <c r="L2" s="159"/>
      <c r="M2" s="159" t="s">
        <v>308</v>
      </c>
      <c r="N2" s="159"/>
      <c r="O2" s="159">
        <v>2014</v>
      </c>
      <c r="P2" s="207" t="s">
        <v>309</v>
      </c>
      <c r="Q2" s="159">
        <v>423</v>
      </c>
      <c r="R2" s="159"/>
      <c r="S2" s="38">
        <v>25380</v>
      </c>
      <c r="T2" s="159"/>
      <c r="U2" s="159">
        <v>404</v>
      </c>
      <c r="V2" s="159"/>
      <c r="W2" s="38">
        <v>24240</v>
      </c>
      <c r="X2" s="159">
        <v>392</v>
      </c>
      <c r="Y2" s="159"/>
      <c r="Z2" s="38">
        <v>23520</v>
      </c>
      <c r="AA2" s="159"/>
      <c r="AB2" s="159">
        <v>383</v>
      </c>
      <c r="AC2" s="159"/>
      <c r="AD2" s="38">
        <v>22980</v>
      </c>
      <c r="AE2" s="159">
        <v>379</v>
      </c>
      <c r="AF2" s="159"/>
      <c r="AG2" s="38">
        <v>32200</v>
      </c>
      <c r="AH2" s="159">
        <v>375</v>
      </c>
      <c r="AI2" s="159"/>
      <c r="AJ2" s="38">
        <v>31875</v>
      </c>
      <c r="AK2" s="159">
        <f>31365/85</f>
        <v>369</v>
      </c>
      <c r="AL2" s="159"/>
      <c r="AM2" s="38">
        <v>31365</v>
      </c>
      <c r="AN2" s="159"/>
      <c r="AO2" s="159"/>
      <c r="AP2" s="159"/>
      <c r="AQ2" s="159"/>
      <c r="AR2" s="159"/>
      <c r="AS2" s="159"/>
      <c r="AT2" s="159"/>
      <c r="AU2" s="295" t="s">
        <v>310</v>
      </c>
      <c r="AV2" s="295"/>
      <c r="AW2" s="295"/>
    </row>
    <row r="3" spans="1:177" ht="40.15" customHeight="1" x14ac:dyDescent="0.2">
      <c r="A3" s="305" t="s">
        <v>40</v>
      </c>
      <c r="C3" s="158" t="s">
        <v>305</v>
      </c>
      <c r="D3" s="157"/>
      <c r="E3" s="158" t="s">
        <v>311</v>
      </c>
      <c r="F3" s="156"/>
      <c r="G3" s="158" t="s">
        <v>307</v>
      </c>
      <c r="H3" s="156"/>
      <c r="I3" s="253">
        <v>100</v>
      </c>
      <c r="J3" s="157"/>
      <c r="K3" s="156" t="s">
        <v>312</v>
      </c>
      <c r="L3" s="157"/>
      <c r="M3" s="156" t="s">
        <v>308</v>
      </c>
      <c r="N3" s="157"/>
      <c r="O3" s="157">
        <v>2008</v>
      </c>
      <c r="P3" s="207" t="s">
        <v>313</v>
      </c>
      <c r="Q3" s="157">
        <v>30</v>
      </c>
      <c r="R3" s="157"/>
      <c r="S3" s="252">
        <v>3000</v>
      </c>
      <c r="T3" s="157"/>
      <c r="U3" s="159">
        <v>13</v>
      </c>
      <c r="V3" s="157"/>
      <c r="W3" s="38">
        <v>1300</v>
      </c>
      <c r="X3" s="157">
        <v>6</v>
      </c>
      <c r="Y3" s="157"/>
      <c r="Z3" s="252">
        <v>600</v>
      </c>
      <c r="AA3" s="157"/>
      <c r="AB3" s="159">
        <v>11</v>
      </c>
      <c r="AC3" s="157"/>
      <c r="AD3" s="38">
        <v>1100</v>
      </c>
      <c r="AE3" s="159">
        <v>13</v>
      </c>
      <c r="AF3" s="157"/>
      <c r="AG3" s="38">
        <v>1300</v>
      </c>
      <c r="AH3" s="159">
        <v>6</v>
      </c>
      <c r="AI3" s="157"/>
      <c r="AJ3" s="38">
        <v>600</v>
      </c>
      <c r="AK3" s="159">
        <v>8</v>
      </c>
      <c r="AL3" s="157"/>
      <c r="AM3" s="38">
        <v>800</v>
      </c>
      <c r="AN3" s="159"/>
      <c r="AO3" s="159"/>
      <c r="AP3" s="159"/>
      <c r="AQ3" s="159"/>
      <c r="AR3" s="159"/>
      <c r="AS3" s="159"/>
      <c r="AT3" s="159"/>
      <c r="AU3" s="295" t="s">
        <v>310</v>
      </c>
      <c r="AV3" s="295"/>
      <c r="AW3" s="295" t="s">
        <v>314</v>
      </c>
    </row>
    <row r="4" spans="1:177" ht="40.15" customHeight="1" x14ac:dyDescent="0.2">
      <c r="A4" s="305" t="s">
        <v>40</v>
      </c>
      <c r="B4" s="121"/>
      <c r="C4" s="123" t="s">
        <v>305</v>
      </c>
      <c r="D4" s="159"/>
      <c r="E4" s="123" t="s">
        <v>315</v>
      </c>
      <c r="F4" s="122"/>
      <c r="G4" s="123" t="s">
        <v>316</v>
      </c>
      <c r="H4" s="122"/>
      <c r="I4" s="104">
        <v>200</v>
      </c>
      <c r="J4" s="159"/>
      <c r="K4" s="122" t="s">
        <v>317</v>
      </c>
      <c r="L4" s="159"/>
      <c r="M4" s="159" t="s">
        <v>308</v>
      </c>
      <c r="N4" s="159"/>
      <c r="O4" s="159">
        <v>2014</v>
      </c>
      <c r="P4" s="207" t="s">
        <v>318</v>
      </c>
      <c r="Q4" s="159">
        <v>13</v>
      </c>
      <c r="R4" s="159"/>
      <c r="S4" s="38">
        <v>1300</v>
      </c>
      <c r="T4" s="159"/>
      <c r="U4" s="159">
        <v>8</v>
      </c>
      <c r="V4" s="159"/>
      <c r="W4" s="38">
        <v>800</v>
      </c>
      <c r="X4" s="159">
        <v>10</v>
      </c>
      <c r="Y4" s="159"/>
      <c r="Z4" s="38">
        <v>1000</v>
      </c>
      <c r="AA4" s="159"/>
      <c r="AB4" s="159">
        <v>19</v>
      </c>
      <c r="AC4" s="159"/>
      <c r="AD4" s="38">
        <v>1900</v>
      </c>
      <c r="AE4" s="159">
        <v>15</v>
      </c>
      <c r="AF4" s="159"/>
      <c r="AG4" s="38">
        <v>3000</v>
      </c>
      <c r="AH4" s="159">
        <v>14</v>
      </c>
      <c r="AI4" s="159"/>
      <c r="AJ4" s="38">
        <v>2800</v>
      </c>
      <c r="AK4" s="159">
        <v>9</v>
      </c>
      <c r="AL4" s="159"/>
      <c r="AM4" s="38">
        <v>1800</v>
      </c>
      <c r="AN4" s="159"/>
      <c r="AO4" s="159"/>
      <c r="AP4" s="159"/>
      <c r="AQ4" s="159"/>
      <c r="AR4" s="159"/>
      <c r="AS4" s="159"/>
      <c r="AT4" s="159"/>
      <c r="AU4" s="295" t="s">
        <v>310</v>
      </c>
      <c r="AV4" s="295"/>
      <c r="AW4" s="295" t="s">
        <v>319</v>
      </c>
    </row>
    <row r="5" spans="1:177" ht="40.15" customHeight="1" x14ac:dyDescent="0.2">
      <c r="A5" s="305" t="s">
        <v>40</v>
      </c>
      <c r="C5" s="158" t="s">
        <v>305</v>
      </c>
      <c r="D5" s="157"/>
      <c r="E5" s="158" t="s">
        <v>320</v>
      </c>
      <c r="F5" s="156"/>
      <c r="G5" s="158" t="s">
        <v>307</v>
      </c>
      <c r="H5" s="156"/>
      <c r="I5" s="253">
        <v>50</v>
      </c>
      <c r="J5" s="157"/>
      <c r="K5" s="156" t="s">
        <v>321</v>
      </c>
      <c r="L5" s="157"/>
      <c r="M5" s="157" t="s">
        <v>308</v>
      </c>
      <c r="N5" s="157"/>
      <c r="O5" s="157">
        <v>1996</v>
      </c>
      <c r="P5" s="207" t="s">
        <v>322</v>
      </c>
      <c r="Q5" s="157">
        <v>6</v>
      </c>
      <c r="R5" s="157"/>
      <c r="S5" s="252">
        <v>300</v>
      </c>
      <c r="T5" s="157"/>
      <c r="U5" s="159">
        <v>8</v>
      </c>
      <c r="V5" s="157"/>
      <c r="W5" s="38">
        <v>400</v>
      </c>
      <c r="X5" s="157">
        <v>6</v>
      </c>
      <c r="Y5" s="157"/>
      <c r="Z5" s="252">
        <v>300</v>
      </c>
      <c r="AA5" s="157"/>
      <c r="AB5" s="159">
        <v>6</v>
      </c>
      <c r="AC5" s="157"/>
      <c r="AD5" s="38">
        <v>300</v>
      </c>
      <c r="AE5" s="159">
        <v>11</v>
      </c>
      <c r="AF5" s="157"/>
      <c r="AG5" s="38">
        <v>550</v>
      </c>
      <c r="AH5" s="159">
        <v>4</v>
      </c>
      <c r="AI5" s="157"/>
      <c r="AJ5" s="38">
        <v>200</v>
      </c>
      <c r="AK5" s="159">
        <v>3</v>
      </c>
      <c r="AL5" s="157"/>
      <c r="AM5" s="38">
        <v>150</v>
      </c>
      <c r="AN5" s="159"/>
      <c r="AO5" s="159"/>
      <c r="AP5" s="159"/>
      <c r="AQ5" s="159"/>
      <c r="AR5" s="159"/>
      <c r="AS5" s="159"/>
      <c r="AT5" s="159"/>
      <c r="AU5" s="295" t="s">
        <v>310</v>
      </c>
      <c r="AV5" s="295"/>
      <c r="AW5" s="295" t="s">
        <v>323</v>
      </c>
    </row>
    <row r="6" spans="1:177" ht="40.15" customHeight="1" x14ac:dyDescent="0.2">
      <c r="A6" s="305" t="s">
        <v>40</v>
      </c>
      <c r="B6" s="121"/>
      <c r="C6" s="123" t="s">
        <v>305</v>
      </c>
      <c r="D6" s="159"/>
      <c r="E6" s="123" t="s">
        <v>324</v>
      </c>
      <c r="F6" s="122"/>
      <c r="G6" s="123" t="s">
        <v>307</v>
      </c>
      <c r="H6" s="122"/>
      <c r="I6" s="104">
        <v>100</v>
      </c>
      <c r="J6" s="159"/>
      <c r="K6" s="122" t="s">
        <v>325</v>
      </c>
      <c r="L6" s="159"/>
      <c r="M6" s="159" t="s">
        <v>308</v>
      </c>
      <c r="N6" s="159"/>
      <c r="O6" s="159">
        <v>2008</v>
      </c>
      <c r="P6" s="207" t="s">
        <v>326</v>
      </c>
      <c r="Q6" s="159">
        <v>1</v>
      </c>
      <c r="R6" s="159"/>
      <c r="S6" s="38">
        <v>100</v>
      </c>
      <c r="T6" s="159"/>
      <c r="U6" s="159">
        <v>0</v>
      </c>
      <c r="V6" s="159"/>
      <c r="W6" s="38">
        <v>0</v>
      </c>
      <c r="X6" s="159">
        <v>0</v>
      </c>
      <c r="Y6" s="159"/>
      <c r="Z6" s="38">
        <v>0</v>
      </c>
      <c r="AA6" s="159"/>
      <c r="AB6" s="159">
        <v>1</v>
      </c>
      <c r="AC6" s="159"/>
      <c r="AD6" s="38">
        <v>100</v>
      </c>
      <c r="AE6" s="159">
        <v>3</v>
      </c>
      <c r="AF6" s="159"/>
      <c r="AG6" s="38">
        <v>300</v>
      </c>
      <c r="AH6" s="159">
        <v>0</v>
      </c>
      <c r="AI6" s="159"/>
      <c r="AJ6" s="38">
        <v>0</v>
      </c>
      <c r="AK6" s="159">
        <v>0</v>
      </c>
      <c r="AL6" s="159"/>
      <c r="AM6" s="38">
        <v>0</v>
      </c>
      <c r="AN6" s="159"/>
      <c r="AO6" s="159"/>
      <c r="AP6" s="159"/>
      <c r="AQ6" s="159"/>
      <c r="AR6" s="159"/>
      <c r="AS6" s="159"/>
      <c r="AT6" s="159"/>
      <c r="AU6" s="295" t="s">
        <v>310</v>
      </c>
      <c r="AV6" s="295"/>
      <c r="AW6" s="295" t="s">
        <v>327</v>
      </c>
    </row>
    <row r="7" spans="1:177" ht="40.15" customHeight="1" x14ac:dyDescent="0.2">
      <c r="A7" s="305" t="s">
        <v>40</v>
      </c>
      <c r="C7" s="158" t="s">
        <v>305</v>
      </c>
      <c r="D7" s="157"/>
      <c r="E7" s="158" t="s">
        <v>328</v>
      </c>
      <c r="F7" s="156"/>
      <c r="G7" s="158" t="s">
        <v>307</v>
      </c>
      <c r="H7" s="156"/>
      <c r="I7" s="253">
        <v>50</v>
      </c>
      <c r="J7" s="157"/>
      <c r="K7" s="156" t="s">
        <v>325</v>
      </c>
      <c r="L7" s="157"/>
      <c r="M7" s="157" t="s">
        <v>308</v>
      </c>
      <c r="N7" s="157"/>
      <c r="O7" s="157">
        <v>2008</v>
      </c>
      <c r="P7" s="207" t="s">
        <v>329</v>
      </c>
      <c r="Q7" s="157">
        <v>3</v>
      </c>
      <c r="R7" s="157"/>
      <c r="S7" s="252">
        <v>150</v>
      </c>
      <c r="T7" s="157"/>
      <c r="U7" s="159">
        <v>2</v>
      </c>
      <c r="V7" s="157"/>
      <c r="W7" s="38">
        <v>100</v>
      </c>
      <c r="X7" s="157">
        <v>1</v>
      </c>
      <c r="Y7" s="157"/>
      <c r="Z7" s="252">
        <v>50</v>
      </c>
      <c r="AA7" s="157"/>
      <c r="AB7" s="159">
        <v>1</v>
      </c>
      <c r="AC7" s="157"/>
      <c r="AD7" s="38">
        <v>50</v>
      </c>
      <c r="AE7" s="159">
        <v>2</v>
      </c>
      <c r="AF7" s="157"/>
      <c r="AG7" s="38">
        <v>100</v>
      </c>
      <c r="AH7" s="159">
        <v>2</v>
      </c>
      <c r="AI7" s="157"/>
      <c r="AJ7" s="38">
        <v>100</v>
      </c>
      <c r="AK7" s="159">
        <v>1</v>
      </c>
      <c r="AL7" s="157"/>
      <c r="AM7" s="38">
        <v>50</v>
      </c>
      <c r="AN7" s="159"/>
      <c r="AO7" s="159"/>
      <c r="AP7" s="159"/>
      <c r="AQ7" s="159"/>
      <c r="AR7" s="159"/>
      <c r="AS7" s="159"/>
      <c r="AT7" s="159"/>
      <c r="AU7" s="295" t="s">
        <v>310</v>
      </c>
      <c r="AV7" s="295"/>
      <c r="AW7" s="295" t="s">
        <v>327</v>
      </c>
    </row>
    <row r="8" spans="1:177" ht="40.15" customHeight="1" x14ac:dyDescent="0.2">
      <c r="A8" s="305" t="s">
        <v>40</v>
      </c>
      <c r="B8" s="121"/>
      <c r="C8" s="123" t="s">
        <v>330</v>
      </c>
      <c r="D8" s="159"/>
      <c r="E8" s="123" t="s">
        <v>331</v>
      </c>
      <c r="F8" s="122"/>
      <c r="G8" s="123" t="s">
        <v>332</v>
      </c>
      <c r="H8" s="122"/>
      <c r="I8" s="104">
        <v>40</v>
      </c>
      <c r="J8" s="159"/>
      <c r="K8" s="122" t="s">
        <v>333</v>
      </c>
      <c r="L8" s="159"/>
      <c r="M8" s="159" t="s">
        <v>308</v>
      </c>
      <c r="N8" s="159"/>
      <c r="O8" s="159">
        <v>2014</v>
      </c>
      <c r="P8" s="207" t="s">
        <v>334</v>
      </c>
      <c r="Q8" s="159">
        <v>19</v>
      </c>
      <c r="R8" s="159"/>
      <c r="S8" s="38">
        <v>475</v>
      </c>
      <c r="T8" s="159"/>
      <c r="U8" s="159">
        <v>38</v>
      </c>
      <c r="V8" s="159"/>
      <c r="W8" s="38">
        <v>950</v>
      </c>
      <c r="X8" s="159">
        <v>26</v>
      </c>
      <c r="Y8" s="159"/>
      <c r="Z8" s="38">
        <v>650</v>
      </c>
      <c r="AA8" s="159"/>
      <c r="AB8" s="159">
        <v>20</v>
      </c>
      <c r="AC8" s="159"/>
      <c r="AD8" s="38">
        <v>500</v>
      </c>
      <c r="AE8" s="159">
        <v>21</v>
      </c>
      <c r="AF8" s="159"/>
      <c r="AG8" s="38">
        <v>840</v>
      </c>
      <c r="AH8" s="159">
        <f>1200/40</f>
        <v>30</v>
      </c>
      <c r="AI8" s="159"/>
      <c r="AJ8" s="38">
        <v>1200</v>
      </c>
      <c r="AK8" s="159">
        <v>25</v>
      </c>
      <c r="AL8" s="159"/>
      <c r="AM8" s="38">
        <v>1000</v>
      </c>
      <c r="AN8" s="159"/>
      <c r="AO8" s="159"/>
      <c r="AP8" s="159"/>
      <c r="AQ8" s="159"/>
      <c r="AR8" s="159"/>
      <c r="AS8" s="159"/>
      <c r="AT8" s="159"/>
      <c r="AU8" s="295"/>
      <c r="AV8" s="295"/>
      <c r="AW8" s="295"/>
    </row>
    <row r="9" spans="1:177" ht="40.15" customHeight="1" x14ac:dyDescent="0.2">
      <c r="A9" s="305" t="s">
        <v>40</v>
      </c>
      <c r="C9" s="158" t="s">
        <v>330</v>
      </c>
      <c r="D9" s="157"/>
      <c r="E9" s="158" t="s">
        <v>335</v>
      </c>
      <c r="F9" s="156"/>
      <c r="G9" s="158" t="s">
        <v>332</v>
      </c>
      <c r="H9" s="156"/>
      <c r="I9" s="253">
        <v>150</v>
      </c>
      <c r="J9" s="157"/>
      <c r="K9" s="156" t="s">
        <v>336</v>
      </c>
      <c r="L9" s="157"/>
      <c r="M9" s="156" t="s">
        <v>308</v>
      </c>
      <c r="N9" s="157"/>
      <c r="O9" s="157">
        <v>2014</v>
      </c>
      <c r="P9" s="207" t="s">
        <v>337</v>
      </c>
      <c r="Q9" s="157">
        <v>251</v>
      </c>
      <c r="R9" s="157"/>
      <c r="S9" s="252">
        <v>32925</v>
      </c>
      <c r="T9" s="157"/>
      <c r="U9" s="159">
        <v>272</v>
      </c>
      <c r="V9" s="157"/>
      <c r="W9" s="38">
        <v>35400</v>
      </c>
      <c r="X9" s="159">
        <v>317</v>
      </c>
      <c r="Y9" s="157"/>
      <c r="Z9" s="252">
        <v>42625</v>
      </c>
      <c r="AA9" s="157"/>
      <c r="AB9" s="159">
        <v>278</v>
      </c>
      <c r="AC9" s="157"/>
      <c r="AD9" s="38">
        <v>37025</v>
      </c>
      <c r="AE9" s="159">
        <v>261</v>
      </c>
      <c r="AF9" s="157"/>
      <c r="AG9" s="38">
        <v>56335</v>
      </c>
      <c r="AH9" s="159">
        <v>262</v>
      </c>
      <c r="AI9" s="157"/>
      <c r="AJ9" s="38">
        <v>46600</v>
      </c>
      <c r="AK9" s="159">
        <v>193</v>
      </c>
      <c r="AL9" s="157"/>
      <c r="AM9" s="38">
        <v>45250</v>
      </c>
      <c r="AN9" s="159"/>
      <c r="AO9" s="159"/>
      <c r="AP9" s="159"/>
      <c r="AQ9" s="159"/>
      <c r="AR9" s="159"/>
      <c r="AS9" s="159"/>
      <c r="AT9" s="159"/>
      <c r="AU9" s="295"/>
      <c r="AV9" s="295"/>
      <c r="AW9" s="290" t="s">
        <v>795</v>
      </c>
    </row>
    <row r="10" spans="1:177" ht="51.6" customHeight="1" x14ac:dyDescent="0.2">
      <c r="A10" s="305" t="s">
        <v>40</v>
      </c>
      <c r="B10" s="121"/>
      <c r="C10" s="123" t="s">
        <v>330</v>
      </c>
      <c r="D10" s="159"/>
      <c r="E10" s="123" t="s">
        <v>338</v>
      </c>
      <c r="F10" s="122"/>
      <c r="G10" s="123" t="s">
        <v>339</v>
      </c>
      <c r="H10" s="122"/>
      <c r="I10" s="104">
        <v>425</v>
      </c>
      <c r="J10" s="159"/>
      <c r="K10" s="122" t="s">
        <v>340</v>
      </c>
      <c r="L10" s="159"/>
      <c r="M10" s="159" t="s">
        <v>308</v>
      </c>
      <c r="N10" s="159"/>
      <c r="O10" s="159">
        <v>2014</v>
      </c>
      <c r="P10" s="207" t="s">
        <v>341</v>
      </c>
      <c r="Q10" s="159">
        <v>414</v>
      </c>
      <c r="R10" s="159"/>
      <c r="S10" s="38">
        <v>134550</v>
      </c>
      <c r="T10" s="159"/>
      <c r="U10" s="159">
        <v>437</v>
      </c>
      <c r="V10" s="159"/>
      <c r="W10" s="38">
        <v>142025</v>
      </c>
      <c r="X10" s="159">
        <v>423</v>
      </c>
      <c r="Y10" s="159"/>
      <c r="Z10" s="38">
        <v>137475</v>
      </c>
      <c r="AA10" s="159"/>
      <c r="AB10" s="159">
        <v>406</v>
      </c>
      <c r="AC10" s="159"/>
      <c r="AD10" s="38">
        <v>131950</v>
      </c>
      <c r="AE10" s="159">
        <v>373</v>
      </c>
      <c r="AF10" s="159"/>
      <c r="AG10" s="38">
        <v>167175</v>
      </c>
      <c r="AH10" s="159">
        <v>341</v>
      </c>
      <c r="AI10" s="159"/>
      <c r="AJ10" s="38">
        <v>149825</v>
      </c>
      <c r="AK10" s="159">
        <v>291</v>
      </c>
      <c r="AL10" s="159"/>
      <c r="AM10" s="38">
        <v>127000</v>
      </c>
      <c r="AN10" s="159"/>
      <c r="AO10" s="159"/>
      <c r="AP10" s="159"/>
      <c r="AQ10" s="159"/>
      <c r="AR10" s="159"/>
      <c r="AS10" s="159"/>
      <c r="AT10" s="159"/>
      <c r="AU10" s="295"/>
      <c r="AV10" s="295"/>
      <c r="AW10" s="290" t="s">
        <v>794</v>
      </c>
    </row>
    <row r="11" spans="1:177" s="208" customFormat="1" ht="55.9" customHeight="1" x14ac:dyDescent="0.2">
      <c r="A11" s="305" t="s">
        <v>40</v>
      </c>
      <c r="B11" s="256"/>
      <c r="C11" s="175" t="s">
        <v>330</v>
      </c>
      <c r="D11" s="176"/>
      <c r="E11" s="175" t="s">
        <v>342</v>
      </c>
      <c r="F11" s="174"/>
      <c r="G11" s="175" t="s">
        <v>343</v>
      </c>
      <c r="H11" s="174"/>
      <c r="I11" s="255">
        <v>525</v>
      </c>
      <c r="J11" s="176"/>
      <c r="K11" s="174" t="s">
        <v>344</v>
      </c>
      <c r="L11" s="176"/>
      <c r="M11" s="176" t="s">
        <v>308</v>
      </c>
      <c r="N11" s="176"/>
      <c r="O11" s="176">
        <v>2014</v>
      </c>
      <c r="P11" s="207" t="s">
        <v>345</v>
      </c>
      <c r="Q11" s="176">
        <v>79</v>
      </c>
      <c r="R11" s="176"/>
      <c r="S11" s="206">
        <v>39425</v>
      </c>
      <c r="T11" s="176"/>
      <c r="U11" s="159">
        <v>108</v>
      </c>
      <c r="V11" s="176"/>
      <c r="W11" s="38">
        <v>35100</v>
      </c>
      <c r="X11" s="176">
        <v>88</v>
      </c>
      <c r="Y11" s="176"/>
      <c r="Z11" s="206">
        <v>28600</v>
      </c>
      <c r="AA11" s="176"/>
      <c r="AB11" s="159">
        <v>91</v>
      </c>
      <c r="AC11" s="176"/>
      <c r="AD11" s="38">
        <v>29575</v>
      </c>
      <c r="AE11" s="159">
        <v>117</v>
      </c>
      <c r="AF11" s="176"/>
      <c r="AG11" s="38">
        <v>58825</v>
      </c>
      <c r="AH11" s="159">
        <f>45150/525</f>
        <v>86</v>
      </c>
      <c r="AI11" s="176"/>
      <c r="AJ11" s="38">
        <v>45150</v>
      </c>
      <c r="AK11" s="159">
        <v>102</v>
      </c>
      <c r="AL11" s="176"/>
      <c r="AM11" s="206">
        <v>53550</v>
      </c>
      <c r="AN11" s="176"/>
      <c r="AO11" s="176"/>
      <c r="AP11" s="176"/>
      <c r="AQ11" s="176"/>
      <c r="AR11" s="176"/>
      <c r="AS11" s="176"/>
      <c r="AT11" s="176"/>
      <c r="AW11" s="296" t="s">
        <v>793</v>
      </c>
      <c r="AX11" s="254"/>
      <c r="AY11" s="254"/>
      <c r="AZ11" s="254"/>
      <c r="BA11" s="254"/>
      <c r="BB11" s="254"/>
      <c r="BC11" s="254"/>
      <c r="BD11" s="254"/>
      <c r="BE11" s="254"/>
      <c r="BF11" s="254"/>
      <c r="BG11" s="254"/>
      <c r="BH11" s="254"/>
      <c r="BI11" s="254"/>
      <c r="BJ11" s="254"/>
      <c r="BK11" s="254"/>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row>
    <row r="12" spans="1:177" ht="49.9" customHeight="1" x14ac:dyDescent="0.2">
      <c r="A12" s="306" t="s">
        <v>40</v>
      </c>
      <c r="C12" s="158" t="s">
        <v>330</v>
      </c>
      <c r="D12" s="157"/>
      <c r="E12" s="158" t="s">
        <v>792</v>
      </c>
      <c r="F12" s="156"/>
      <c r="G12" s="158" t="s">
        <v>791</v>
      </c>
      <c r="H12" s="156"/>
      <c r="I12" s="253">
        <v>500</v>
      </c>
      <c r="J12" s="157"/>
      <c r="K12" s="156" t="s">
        <v>790</v>
      </c>
      <c r="L12" s="157"/>
      <c r="M12" s="157" t="s">
        <v>308</v>
      </c>
      <c r="N12" s="157"/>
      <c r="O12" s="157">
        <v>2014</v>
      </c>
      <c r="P12" s="245" t="s">
        <v>345</v>
      </c>
      <c r="Q12" s="157"/>
      <c r="R12" s="157"/>
      <c r="S12" s="252"/>
      <c r="T12" s="157"/>
      <c r="U12" s="176"/>
      <c r="V12" s="157"/>
      <c r="W12" s="206"/>
      <c r="X12" s="157"/>
      <c r="Y12" s="157"/>
      <c r="Z12" s="252"/>
      <c r="AA12" s="157"/>
      <c r="AB12" s="176"/>
      <c r="AC12" s="157"/>
      <c r="AD12" s="206"/>
      <c r="AE12" s="176">
        <f>4500/500</f>
        <v>9</v>
      </c>
      <c r="AF12" s="157"/>
      <c r="AG12" s="206">
        <v>4500</v>
      </c>
      <c r="AH12" s="176">
        <f>9500/500</f>
        <v>19</v>
      </c>
      <c r="AI12" s="157"/>
      <c r="AJ12" s="206">
        <v>9500</v>
      </c>
      <c r="AK12" s="176">
        <f>12000/500</f>
        <v>24</v>
      </c>
      <c r="AL12" s="157"/>
      <c r="AM12" s="206">
        <v>12000</v>
      </c>
      <c r="AN12" s="176"/>
      <c r="AO12" s="176"/>
      <c r="AP12" s="176"/>
      <c r="AQ12" s="176"/>
      <c r="AR12" s="176"/>
      <c r="AS12" s="176"/>
      <c r="AT12" s="176"/>
      <c r="AU12" s="208"/>
      <c r="AV12" s="208"/>
      <c r="AW12" s="296" t="s">
        <v>789</v>
      </c>
      <c r="AX12" s="37"/>
      <c r="AY12" s="37"/>
      <c r="AZ12" s="37"/>
      <c r="BA12" s="37"/>
      <c r="BB12" s="37"/>
      <c r="BC12" s="37"/>
      <c r="BD12" s="37"/>
      <c r="BE12" s="37"/>
      <c r="BF12" s="37"/>
      <c r="BG12" s="37"/>
      <c r="BH12" s="37"/>
      <c r="BI12" s="37"/>
      <c r="BJ12" s="37"/>
      <c r="BK12" s="37"/>
    </row>
    <row r="13" spans="1:177" ht="40.15" customHeight="1" x14ac:dyDescent="0.2">
      <c r="A13" s="305" t="s">
        <v>40</v>
      </c>
      <c r="B13" s="121"/>
      <c r="C13" s="122" t="s">
        <v>346</v>
      </c>
      <c r="D13" s="159"/>
      <c r="E13" s="123" t="s">
        <v>347</v>
      </c>
      <c r="F13" s="122"/>
      <c r="G13" s="123" t="s">
        <v>348</v>
      </c>
      <c r="H13" s="122"/>
      <c r="I13" s="104">
        <v>25</v>
      </c>
      <c r="J13" s="159"/>
      <c r="K13" s="122" t="s">
        <v>349</v>
      </c>
      <c r="L13" s="159"/>
      <c r="M13" s="159" t="s">
        <v>308</v>
      </c>
      <c r="N13" s="159"/>
      <c r="O13" s="159">
        <v>2009</v>
      </c>
      <c r="P13" s="120" t="s">
        <v>350</v>
      </c>
      <c r="Q13" s="159">
        <v>38</v>
      </c>
      <c r="R13" s="159"/>
      <c r="S13" s="38">
        <v>950</v>
      </c>
      <c r="T13" s="159"/>
      <c r="U13" s="159">
        <v>28</v>
      </c>
      <c r="V13" s="159"/>
      <c r="W13" s="38">
        <v>700</v>
      </c>
      <c r="X13" s="159">
        <v>32</v>
      </c>
      <c r="Y13" s="159"/>
      <c r="Z13" s="38">
        <v>800</v>
      </c>
      <c r="AA13" s="159"/>
      <c r="AB13" s="159">
        <v>18</v>
      </c>
      <c r="AC13" s="159"/>
      <c r="AD13" s="38">
        <v>450</v>
      </c>
      <c r="AE13" s="159">
        <v>26</v>
      </c>
      <c r="AF13" s="159"/>
      <c r="AG13" s="38">
        <v>650</v>
      </c>
      <c r="AH13" s="159">
        <f>675/25</f>
        <v>27</v>
      </c>
      <c r="AI13" s="159"/>
      <c r="AJ13" s="38">
        <v>675</v>
      </c>
      <c r="AK13" s="159">
        <f>725/25</f>
        <v>29</v>
      </c>
      <c r="AL13" s="159"/>
      <c r="AM13" s="206">
        <v>725</v>
      </c>
      <c r="AN13" s="176"/>
      <c r="AO13" s="176"/>
      <c r="AP13" s="176"/>
      <c r="AQ13" s="176"/>
      <c r="AR13" s="176"/>
      <c r="AS13" s="176"/>
      <c r="AT13" s="176"/>
      <c r="AU13" s="208" t="s">
        <v>310</v>
      </c>
      <c r="AV13" s="208"/>
      <c r="AW13" s="208"/>
    </row>
    <row r="14" spans="1:177" ht="40.15" customHeight="1" x14ac:dyDescent="0.2">
      <c r="A14" s="305" t="s">
        <v>40</v>
      </c>
      <c r="C14" s="156" t="s">
        <v>346</v>
      </c>
      <c r="D14" s="157"/>
      <c r="E14" s="158" t="s">
        <v>509</v>
      </c>
      <c r="F14" s="156"/>
      <c r="G14" s="158" t="s">
        <v>510</v>
      </c>
      <c r="H14" s="156"/>
      <c r="I14" s="253">
        <v>50</v>
      </c>
      <c r="J14" s="157"/>
      <c r="K14" s="156" t="s">
        <v>349</v>
      </c>
      <c r="L14" s="157"/>
      <c r="M14" s="157" t="s">
        <v>308</v>
      </c>
      <c r="N14" s="157"/>
      <c r="O14" s="157">
        <v>2016</v>
      </c>
      <c r="P14" s="120" t="s">
        <v>351</v>
      </c>
      <c r="Q14" s="157">
        <v>31</v>
      </c>
      <c r="R14" s="157"/>
      <c r="S14" s="252">
        <v>1080</v>
      </c>
      <c r="T14" s="157"/>
      <c r="U14" s="159">
        <v>32</v>
      </c>
      <c r="V14" s="157"/>
      <c r="W14" s="38">
        <v>1000</v>
      </c>
      <c r="X14" s="157">
        <v>16</v>
      </c>
      <c r="Y14" s="157"/>
      <c r="Z14" s="252">
        <v>500</v>
      </c>
      <c r="AA14" s="157"/>
      <c r="AB14" s="159">
        <v>24</v>
      </c>
      <c r="AC14" s="157"/>
      <c r="AD14" s="38">
        <v>740</v>
      </c>
      <c r="AE14" s="159">
        <v>28</v>
      </c>
      <c r="AF14" s="157"/>
      <c r="AG14" s="38">
        <v>960</v>
      </c>
      <c r="AH14" s="159">
        <v>27</v>
      </c>
      <c r="AI14" s="157"/>
      <c r="AJ14" s="38">
        <v>920</v>
      </c>
      <c r="AK14" s="159">
        <v>29</v>
      </c>
      <c r="AL14" s="157"/>
      <c r="AM14" s="206">
        <v>1150</v>
      </c>
      <c r="AN14" s="176"/>
      <c r="AO14" s="176"/>
      <c r="AP14" s="176"/>
      <c r="AQ14" s="176"/>
      <c r="AR14" s="176"/>
      <c r="AS14" s="176"/>
      <c r="AT14" s="176"/>
      <c r="AU14" s="208" t="s">
        <v>310</v>
      </c>
      <c r="AV14" s="208"/>
      <c r="AW14" s="207" t="s">
        <v>788</v>
      </c>
      <c r="AX14" s="24"/>
    </row>
    <row r="15" spans="1:177" ht="40.15" customHeight="1" x14ac:dyDescent="0.2">
      <c r="A15" s="305" t="s">
        <v>40</v>
      </c>
      <c r="B15" s="121"/>
      <c r="C15" s="122" t="s">
        <v>346</v>
      </c>
      <c r="D15" s="159"/>
      <c r="E15" s="123" t="s">
        <v>352</v>
      </c>
      <c r="F15" s="122"/>
      <c r="G15" s="123" t="s">
        <v>353</v>
      </c>
      <c r="H15" s="122"/>
      <c r="I15" s="104">
        <v>250</v>
      </c>
      <c r="J15" s="159"/>
      <c r="K15" s="122" t="s">
        <v>349</v>
      </c>
      <c r="L15" s="159"/>
      <c r="M15" s="159" t="s">
        <v>308</v>
      </c>
      <c r="N15" s="159"/>
      <c r="O15" s="159">
        <v>2016</v>
      </c>
      <c r="P15" s="120" t="s">
        <v>354</v>
      </c>
      <c r="Q15" s="159">
        <v>11</v>
      </c>
      <c r="R15" s="159"/>
      <c r="S15" s="38">
        <v>2050</v>
      </c>
      <c r="T15" s="159"/>
      <c r="U15" s="159">
        <v>10</v>
      </c>
      <c r="V15" s="159"/>
      <c r="W15" s="38">
        <v>1800</v>
      </c>
      <c r="X15" s="159">
        <v>8</v>
      </c>
      <c r="Y15" s="159"/>
      <c r="Z15" s="38">
        <v>1400</v>
      </c>
      <c r="AA15" s="159"/>
      <c r="AB15" s="159">
        <v>6</v>
      </c>
      <c r="AC15" s="159"/>
      <c r="AD15" s="38">
        <v>1100</v>
      </c>
      <c r="AE15" s="159">
        <v>3</v>
      </c>
      <c r="AF15" s="159"/>
      <c r="AG15" s="38">
        <v>500</v>
      </c>
      <c r="AH15" s="159">
        <v>6</v>
      </c>
      <c r="AI15" s="159"/>
      <c r="AJ15" s="38">
        <v>1300</v>
      </c>
      <c r="AK15" s="159">
        <v>9</v>
      </c>
      <c r="AL15" s="159"/>
      <c r="AM15" s="206">
        <v>2500</v>
      </c>
      <c r="AN15" s="176"/>
      <c r="AO15" s="176"/>
      <c r="AP15" s="176"/>
      <c r="AQ15" s="176"/>
      <c r="AR15" s="176"/>
      <c r="AS15" s="176"/>
      <c r="AT15" s="176"/>
      <c r="AU15" s="208" t="s">
        <v>310</v>
      </c>
      <c r="AV15" s="208"/>
      <c r="AW15" s="207" t="s">
        <v>355</v>
      </c>
      <c r="AX15" s="24"/>
    </row>
    <row r="16" spans="1:177" ht="24.6" customHeight="1" x14ac:dyDescent="0.2">
      <c r="A16" s="297" t="s">
        <v>559</v>
      </c>
      <c r="B16" s="298"/>
      <c r="C16" s="298"/>
      <c r="D16" s="299"/>
      <c r="E16" s="300"/>
      <c r="F16" s="301"/>
      <c r="G16" s="300"/>
      <c r="H16" s="301"/>
      <c r="I16" s="301"/>
      <c r="J16" s="299"/>
      <c r="K16" s="301"/>
      <c r="L16" s="299"/>
      <c r="M16" s="299"/>
      <c r="N16" s="299"/>
      <c r="O16" s="299"/>
      <c r="P16" s="297"/>
      <c r="Q16" s="302">
        <f>SUM(Q2:Q15)</f>
        <v>1319</v>
      </c>
      <c r="R16" s="299"/>
      <c r="S16" s="303">
        <f>SUM(S2:S15)</f>
        <v>241685</v>
      </c>
      <c r="T16" s="299"/>
      <c r="U16" s="302">
        <f>SUM(U2:U15)</f>
        <v>1360</v>
      </c>
      <c r="V16" s="299"/>
      <c r="W16" s="303">
        <f t="shared" ref="W16:AM16" si="0">SUM(W2:W15)</f>
        <v>243815</v>
      </c>
      <c r="X16" s="303">
        <f t="shared" si="0"/>
        <v>1325</v>
      </c>
      <c r="Y16" s="303">
        <f t="shared" si="0"/>
        <v>0</v>
      </c>
      <c r="Z16" s="303">
        <f t="shared" si="0"/>
        <v>237520</v>
      </c>
      <c r="AA16" s="303">
        <f t="shared" si="0"/>
        <v>0</v>
      </c>
      <c r="AB16" s="303">
        <f t="shared" si="0"/>
        <v>1264</v>
      </c>
      <c r="AC16" s="303">
        <f t="shared" si="0"/>
        <v>0</v>
      </c>
      <c r="AD16" s="303">
        <f t="shared" si="0"/>
        <v>227770</v>
      </c>
      <c r="AE16" s="303">
        <f t="shared" si="0"/>
        <v>1261</v>
      </c>
      <c r="AF16" s="303">
        <f t="shared" si="0"/>
        <v>0</v>
      </c>
      <c r="AG16" s="303">
        <f t="shared" si="0"/>
        <v>327235</v>
      </c>
      <c r="AH16" s="303">
        <f t="shared" si="0"/>
        <v>1199</v>
      </c>
      <c r="AI16" s="303">
        <f t="shared" si="0"/>
        <v>0</v>
      </c>
      <c r="AJ16" s="303">
        <f t="shared" si="0"/>
        <v>290745</v>
      </c>
      <c r="AK16" s="303">
        <f t="shared" si="0"/>
        <v>1092</v>
      </c>
      <c r="AL16" s="303">
        <f t="shared" si="0"/>
        <v>0</v>
      </c>
      <c r="AM16" s="303">
        <f t="shared" si="0"/>
        <v>277340</v>
      </c>
      <c r="AN16" s="299"/>
      <c r="AO16" s="299"/>
      <c r="AP16" s="299"/>
      <c r="AQ16" s="299"/>
      <c r="AR16" s="299"/>
      <c r="AS16" s="299"/>
      <c r="AT16" s="299"/>
      <c r="AU16" s="304"/>
      <c r="AV16" s="304"/>
      <c r="AW16" s="304"/>
    </row>
    <row r="17" spans="1:47" ht="12.75" x14ac:dyDescent="0.2">
      <c r="A17" s="51"/>
      <c r="B17" s="251"/>
      <c r="C17" s="251"/>
      <c r="D17" s="127"/>
      <c r="E17" s="128"/>
      <c r="F17" s="126"/>
      <c r="G17" s="128"/>
      <c r="H17" s="126"/>
      <c r="I17" s="126"/>
      <c r="J17" s="127"/>
      <c r="K17" s="126"/>
      <c r="L17" s="127"/>
      <c r="M17" s="127"/>
      <c r="N17" s="127"/>
      <c r="O17" s="127"/>
      <c r="Q17" s="127"/>
      <c r="R17" s="127"/>
      <c r="S17" s="52"/>
      <c r="T17" s="127"/>
      <c r="U17" s="127"/>
      <c r="V17" s="127"/>
      <c r="W17" s="127"/>
      <c r="X17" s="127"/>
      <c r="Y17" s="127"/>
      <c r="Z17" s="52"/>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7" s="23" customFormat="1" ht="15" customHeight="1" x14ac:dyDescent="0.2">
      <c r="A18" s="124" t="s">
        <v>787</v>
      </c>
      <c r="B18" s="129"/>
      <c r="C18" s="126"/>
      <c r="D18" s="127"/>
      <c r="E18" s="128"/>
      <c r="F18" s="126"/>
      <c r="G18" s="128"/>
      <c r="H18" s="126"/>
      <c r="I18" s="126"/>
      <c r="J18" s="127"/>
      <c r="K18" s="126"/>
      <c r="L18" s="127"/>
      <c r="M18" s="127"/>
      <c r="N18" s="127"/>
      <c r="O18" s="127"/>
      <c r="P18" s="108"/>
      <c r="Q18" s="127"/>
      <c r="R18" s="127"/>
      <c r="S18" s="46"/>
      <c r="T18" s="127"/>
      <c r="U18" s="127"/>
      <c r="V18" s="127"/>
      <c r="W18" s="127"/>
      <c r="X18" s="127"/>
      <c r="Y18" s="127"/>
      <c r="Z18" s="46"/>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7" s="23" customFormat="1" ht="15" customHeight="1" x14ac:dyDescent="0.2">
      <c r="A19" s="124" t="s">
        <v>786</v>
      </c>
      <c r="B19" s="129"/>
      <c r="C19" s="126"/>
      <c r="D19" s="127"/>
      <c r="E19" s="128"/>
      <c r="F19" s="126"/>
      <c r="G19" s="128"/>
      <c r="H19" s="126"/>
      <c r="I19" s="126"/>
      <c r="J19" s="127"/>
      <c r="K19" s="126"/>
      <c r="L19" s="127"/>
      <c r="M19" s="127"/>
      <c r="N19" s="127"/>
      <c r="O19" s="127"/>
      <c r="P19" s="108"/>
      <c r="Q19" s="127"/>
      <c r="R19" s="127"/>
      <c r="S19" s="46"/>
      <c r="T19" s="127"/>
      <c r="U19" s="127"/>
      <c r="V19" s="127"/>
      <c r="W19" s="127"/>
      <c r="X19" s="127"/>
      <c r="Y19" s="127"/>
      <c r="Z19" s="46"/>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7" s="22" customFormat="1" ht="15" customHeight="1" x14ac:dyDescent="0.2">
      <c r="A20" s="124" t="s">
        <v>785</v>
      </c>
      <c r="B20" s="124"/>
      <c r="C20" s="126"/>
      <c r="D20" s="127"/>
      <c r="E20" s="128"/>
      <c r="F20" s="126"/>
      <c r="G20" s="128"/>
      <c r="H20" s="126"/>
      <c r="I20" s="126"/>
      <c r="J20" s="127"/>
      <c r="K20" s="126"/>
      <c r="L20" s="127"/>
      <c r="M20" s="127"/>
      <c r="N20" s="127"/>
      <c r="O20" s="127"/>
      <c r="P20" s="51"/>
      <c r="Q20" s="127"/>
      <c r="R20" s="127"/>
      <c r="S20" s="46"/>
      <c r="T20" s="127"/>
      <c r="U20" s="127"/>
      <c r="V20" s="127"/>
      <c r="W20" s="127"/>
      <c r="X20" s="127"/>
      <c r="Y20" s="127"/>
      <c r="Z20" s="46"/>
      <c r="AA20" s="127"/>
      <c r="AB20" s="127"/>
      <c r="AC20" s="127"/>
      <c r="AD20" s="127"/>
      <c r="AE20" s="127"/>
      <c r="AF20" s="127"/>
      <c r="AG20" s="127"/>
      <c r="AH20" s="127"/>
      <c r="AI20" s="127"/>
      <c r="AJ20" s="127"/>
      <c r="AK20" s="127"/>
      <c r="AL20" s="127"/>
      <c r="AM20" s="127"/>
      <c r="AN20" s="127"/>
      <c r="AO20" s="127"/>
      <c r="AP20" s="127"/>
      <c r="AQ20" s="127"/>
      <c r="AR20" s="127"/>
      <c r="AS20" s="127"/>
      <c r="AT20" s="127"/>
      <c r="AU20" s="23"/>
    </row>
    <row r="21" spans="1:47" s="22" customFormat="1" ht="15" customHeight="1" x14ac:dyDescent="0.2">
      <c r="A21" s="106" t="s">
        <v>843</v>
      </c>
      <c r="B21" s="106"/>
      <c r="C21" s="106"/>
      <c r="D21" s="106"/>
      <c r="E21" s="106"/>
      <c r="F21" s="106"/>
      <c r="G21" s="106"/>
      <c r="H21" s="106"/>
      <c r="I21" s="106"/>
      <c r="J21" s="106"/>
      <c r="K21" s="106"/>
      <c r="L21" s="106"/>
      <c r="M21" s="106"/>
      <c r="N21" s="106"/>
      <c r="O21" s="106"/>
      <c r="P21" s="51"/>
      <c r="Q21" s="106"/>
      <c r="R21" s="106"/>
      <c r="S21" s="106"/>
      <c r="T21" s="106"/>
      <c r="U21" s="106"/>
      <c r="V21" s="106"/>
      <c r="W21" s="106"/>
      <c r="X21" s="205"/>
      <c r="Y21" s="205"/>
      <c r="Z21" s="205"/>
      <c r="AA21" s="205"/>
      <c r="AB21" s="205"/>
      <c r="AC21" s="205"/>
      <c r="AD21" s="205"/>
      <c r="AE21" s="205"/>
      <c r="AF21" s="205"/>
      <c r="AG21" s="205"/>
      <c r="AH21" s="205"/>
      <c r="AI21" s="205"/>
      <c r="AJ21" s="205"/>
      <c r="AK21" s="205"/>
      <c r="AL21" s="205"/>
      <c r="AM21" s="205"/>
      <c r="AN21" s="127"/>
      <c r="AO21" s="127"/>
      <c r="AP21" s="127"/>
      <c r="AQ21" s="127"/>
      <c r="AR21" s="127"/>
      <c r="AS21" s="127"/>
      <c r="AT21" s="127"/>
      <c r="AU21" s="23"/>
    </row>
    <row r="22" spans="1:47" s="22" customFormat="1" ht="15" customHeight="1" x14ac:dyDescent="0.2">
      <c r="A22" s="106" t="s">
        <v>784</v>
      </c>
      <c r="B22" s="106"/>
      <c r="C22" s="106"/>
      <c r="D22" s="106"/>
      <c r="E22" s="106"/>
      <c r="F22" s="106"/>
      <c r="G22" s="106"/>
      <c r="H22" s="106"/>
      <c r="I22" s="106"/>
      <c r="J22" s="106"/>
      <c r="K22" s="106"/>
      <c r="L22" s="106"/>
      <c r="M22" s="106"/>
      <c r="N22" s="106"/>
      <c r="O22" s="106"/>
      <c r="P22" s="51"/>
      <c r="Q22" s="106"/>
      <c r="R22" s="106"/>
      <c r="S22" s="106"/>
      <c r="T22" s="106"/>
      <c r="U22" s="106"/>
      <c r="V22" s="106"/>
      <c r="W22" s="106"/>
      <c r="X22" s="205"/>
      <c r="Y22" s="205"/>
      <c r="Z22" s="205"/>
      <c r="AA22" s="205"/>
      <c r="AB22" s="205"/>
      <c r="AC22" s="205"/>
      <c r="AD22" s="205"/>
      <c r="AE22" s="205"/>
      <c r="AF22" s="205"/>
      <c r="AG22" s="205"/>
      <c r="AH22" s="205"/>
      <c r="AI22" s="205"/>
      <c r="AJ22" s="205"/>
      <c r="AK22" s="205"/>
      <c r="AL22" s="205"/>
      <c r="AM22" s="205"/>
      <c r="AN22" s="127"/>
      <c r="AO22" s="127"/>
      <c r="AP22" s="127"/>
      <c r="AQ22" s="127"/>
      <c r="AR22" s="127"/>
      <c r="AS22" s="127"/>
      <c r="AT22" s="127"/>
      <c r="AU22" s="23"/>
    </row>
    <row r="23" spans="1:47" s="22" customFormat="1" ht="15" customHeight="1" x14ac:dyDescent="0.2">
      <c r="A23" s="106" t="s">
        <v>783</v>
      </c>
      <c r="B23" s="106"/>
      <c r="C23" s="106"/>
      <c r="D23" s="106"/>
      <c r="E23" s="106"/>
      <c r="F23" s="106"/>
      <c r="G23" s="106"/>
      <c r="H23" s="106"/>
      <c r="I23" s="106"/>
      <c r="J23" s="106"/>
      <c r="K23" s="106"/>
      <c r="L23" s="106"/>
      <c r="M23" s="106"/>
      <c r="N23" s="106"/>
      <c r="O23" s="106"/>
      <c r="P23" s="51"/>
      <c r="Q23" s="106"/>
      <c r="R23" s="106"/>
      <c r="S23" s="106"/>
      <c r="T23" s="106"/>
      <c r="U23" s="106"/>
      <c r="V23" s="106"/>
      <c r="W23" s="106"/>
      <c r="X23" s="205"/>
      <c r="Y23" s="205"/>
      <c r="Z23" s="205"/>
      <c r="AA23" s="205"/>
      <c r="AB23" s="205"/>
      <c r="AC23" s="205"/>
      <c r="AD23" s="205"/>
      <c r="AE23" s="205"/>
      <c r="AF23" s="205"/>
      <c r="AG23" s="205"/>
      <c r="AH23" s="205"/>
      <c r="AI23" s="205"/>
      <c r="AJ23" s="205"/>
      <c r="AK23" s="205"/>
      <c r="AL23" s="205"/>
      <c r="AM23" s="205"/>
      <c r="AN23" s="127"/>
      <c r="AO23" s="127"/>
      <c r="AP23" s="127"/>
      <c r="AQ23" s="127"/>
      <c r="AR23" s="127"/>
      <c r="AS23" s="127"/>
      <c r="AT23" s="127"/>
      <c r="AU23" s="23"/>
    </row>
    <row r="24" spans="1:47" s="22" customFormat="1" ht="15" customHeight="1" x14ac:dyDescent="0.2">
      <c r="A24" s="106"/>
      <c r="B24" s="106"/>
      <c r="C24" s="106"/>
      <c r="D24" s="106"/>
      <c r="E24" s="106"/>
      <c r="F24" s="106"/>
      <c r="G24" s="106"/>
      <c r="H24" s="106"/>
      <c r="I24" s="106"/>
      <c r="J24" s="106"/>
      <c r="K24" s="106"/>
      <c r="L24" s="106"/>
      <c r="M24" s="106"/>
      <c r="N24" s="106"/>
      <c r="O24" s="106"/>
      <c r="P24" s="51"/>
      <c r="Q24" s="106"/>
      <c r="R24" s="106"/>
      <c r="S24" s="106"/>
      <c r="T24" s="106"/>
      <c r="U24" s="106"/>
      <c r="V24" s="106"/>
      <c r="W24" s="106"/>
      <c r="X24" s="205"/>
      <c r="Y24" s="205"/>
      <c r="Z24" s="205"/>
      <c r="AA24" s="205"/>
      <c r="AB24" s="205"/>
      <c r="AC24" s="205"/>
      <c r="AD24" s="205"/>
      <c r="AE24" s="205"/>
      <c r="AF24" s="205"/>
      <c r="AG24" s="205"/>
      <c r="AH24" s="205"/>
      <c r="AI24" s="205"/>
      <c r="AJ24" s="205"/>
      <c r="AK24" s="205"/>
      <c r="AL24" s="205"/>
      <c r="AM24" s="205"/>
      <c r="AN24" s="127"/>
      <c r="AO24" s="127"/>
      <c r="AP24" s="127"/>
      <c r="AQ24" s="127"/>
      <c r="AR24" s="127"/>
      <c r="AS24" s="127"/>
      <c r="AT24" s="127"/>
      <c r="AU24" s="23"/>
    </row>
    <row r="25" spans="1:47" s="22" customFormat="1" ht="15" customHeight="1" x14ac:dyDescent="0.2">
      <c r="A25" s="106" t="s">
        <v>844</v>
      </c>
      <c r="B25" s="106"/>
      <c r="C25" s="106"/>
      <c r="D25" s="106"/>
      <c r="E25" s="106"/>
      <c r="F25" s="106"/>
      <c r="G25" s="106"/>
      <c r="H25" s="106"/>
      <c r="I25" s="106"/>
      <c r="J25" s="106"/>
      <c r="K25" s="106"/>
      <c r="L25" s="106"/>
      <c r="M25" s="106"/>
      <c r="N25" s="106"/>
      <c r="O25" s="106"/>
      <c r="P25" s="51"/>
      <c r="Q25" s="106"/>
      <c r="R25" s="106"/>
      <c r="S25" s="106"/>
      <c r="T25" s="106"/>
      <c r="U25" s="106"/>
      <c r="V25" s="106"/>
      <c r="W25" s="106"/>
      <c r="X25" s="205"/>
      <c r="Y25" s="205"/>
      <c r="Z25" s="205"/>
      <c r="AA25" s="205"/>
      <c r="AB25" s="205"/>
      <c r="AC25" s="205"/>
      <c r="AD25" s="205"/>
      <c r="AE25" s="205"/>
      <c r="AF25" s="205"/>
      <c r="AG25" s="205"/>
      <c r="AH25" s="205"/>
      <c r="AI25" s="205"/>
      <c r="AJ25" s="205"/>
      <c r="AK25" s="205"/>
      <c r="AL25" s="205"/>
      <c r="AM25" s="205"/>
      <c r="AN25" s="127"/>
      <c r="AO25" s="127"/>
      <c r="AP25" s="127"/>
      <c r="AQ25" s="127"/>
      <c r="AR25" s="127"/>
      <c r="AS25" s="127"/>
      <c r="AT25" s="127"/>
      <c r="AU25" s="23"/>
    </row>
    <row r="26" spans="1:47" s="22" customFormat="1" ht="15" customHeight="1" x14ac:dyDescent="0.2">
      <c r="A26" s="106" t="s">
        <v>845</v>
      </c>
      <c r="B26" s="106"/>
      <c r="C26" s="106"/>
      <c r="D26" s="106"/>
      <c r="E26" s="106"/>
      <c r="F26" s="106"/>
      <c r="G26" s="106"/>
      <c r="H26" s="106"/>
      <c r="I26" s="106"/>
      <c r="J26" s="106"/>
      <c r="K26" s="106"/>
      <c r="L26" s="106"/>
      <c r="M26" s="106"/>
      <c r="N26" s="106"/>
      <c r="O26" s="106"/>
      <c r="P26" s="51"/>
      <c r="Q26" s="106"/>
      <c r="R26" s="106"/>
      <c r="S26" s="106"/>
      <c r="T26" s="106"/>
      <c r="U26" s="106"/>
      <c r="V26" s="106"/>
      <c r="W26" s="106"/>
      <c r="X26" s="205"/>
      <c r="Y26" s="205"/>
      <c r="Z26" s="205"/>
      <c r="AA26" s="205"/>
      <c r="AB26" s="205"/>
      <c r="AC26" s="205"/>
      <c r="AD26" s="205"/>
      <c r="AE26" s="205"/>
      <c r="AF26" s="205"/>
      <c r="AG26" s="205"/>
      <c r="AH26" s="205"/>
      <c r="AI26" s="205"/>
      <c r="AJ26" s="205"/>
      <c r="AK26" s="205"/>
      <c r="AL26" s="205"/>
      <c r="AM26" s="205"/>
      <c r="AN26" s="127"/>
      <c r="AO26" s="127"/>
      <c r="AP26" s="127"/>
      <c r="AQ26" s="127"/>
      <c r="AR26" s="127"/>
      <c r="AS26" s="127"/>
      <c r="AT26" s="127"/>
    </row>
    <row r="27" spans="1:47" s="23" customFormat="1" ht="15" customHeight="1" x14ac:dyDescent="0.2">
      <c r="A27" s="125"/>
      <c r="B27" s="129"/>
      <c r="C27" s="126"/>
      <c r="D27" s="127"/>
      <c r="E27" s="128"/>
      <c r="F27" s="126"/>
      <c r="G27" s="128"/>
      <c r="H27" s="126"/>
      <c r="I27" s="126"/>
      <c r="J27" s="127"/>
      <c r="K27" s="126"/>
      <c r="L27" s="127"/>
      <c r="M27" s="127"/>
      <c r="N27" s="127"/>
      <c r="O27" s="127"/>
      <c r="P27" s="108"/>
      <c r="Q27" s="127"/>
      <c r="R27" s="127"/>
      <c r="S27" s="46"/>
      <c r="T27" s="127"/>
      <c r="U27" s="127"/>
      <c r="V27" s="127"/>
      <c r="W27" s="127"/>
      <c r="X27" s="127"/>
      <c r="Y27" s="127"/>
      <c r="Z27" s="46"/>
      <c r="AA27" s="127"/>
      <c r="AB27" s="127"/>
      <c r="AC27" s="127"/>
      <c r="AD27" s="127"/>
      <c r="AE27" s="127"/>
      <c r="AF27" s="127"/>
      <c r="AG27" s="127"/>
      <c r="AH27" s="127"/>
      <c r="AI27" s="127"/>
      <c r="AJ27" s="127"/>
      <c r="AK27" s="127"/>
      <c r="AL27" s="127"/>
      <c r="AM27" s="127"/>
      <c r="AN27" s="127"/>
      <c r="AO27" s="127"/>
      <c r="AP27" s="127"/>
      <c r="AQ27" s="127"/>
      <c r="AR27" s="127"/>
      <c r="AS27" s="127"/>
      <c r="AT27" s="127"/>
    </row>
    <row r="28" spans="1:47" s="22" customFormat="1" x14ac:dyDescent="0.2">
      <c r="A28" s="125"/>
      <c r="B28" s="124"/>
      <c r="C28" s="126"/>
      <c r="D28" s="127"/>
      <c r="E28" s="128"/>
      <c r="F28" s="126"/>
      <c r="G28" s="128"/>
      <c r="H28" s="126"/>
      <c r="I28" s="126"/>
      <c r="J28" s="127"/>
      <c r="K28" s="126"/>
      <c r="L28" s="127"/>
      <c r="M28" s="126"/>
      <c r="N28" s="127"/>
      <c r="O28" s="127"/>
      <c r="P28" s="51"/>
      <c r="Q28" s="127"/>
      <c r="R28" s="127"/>
      <c r="S28" s="46"/>
      <c r="T28" s="127"/>
      <c r="U28" s="127"/>
      <c r="V28" s="127"/>
      <c r="W28" s="127"/>
      <c r="X28" s="127"/>
      <c r="Y28" s="127"/>
      <c r="Z28" s="46"/>
      <c r="AA28" s="127"/>
      <c r="AB28" s="127"/>
      <c r="AC28" s="127"/>
      <c r="AD28" s="127"/>
      <c r="AE28" s="127"/>
      <c r="AF28" s="127"/>
      <c r="AG28" s="127"/>
      <c r="AH28" s="127"/>
      <c r="AI28" s="127"/>
      <c r="AJ28" s="127"/>
      <c r="AK28" s="127"/>
      <c r="AL28" s="127"/>
      <c r="AM28" s="127"/>
      <c r="AN28" s="127"/>
      <c r="AO28" s="127"/>
      <c r="AP28" s="127"/>
      <c r="AQ28" s="127"/>
      <c r="AR28" s="127"/>
      <c r="AS28" s="127"/>
      <c r="AT28" s="127"/>
    </row>
    <row r="29" spans="1:47" s="165" customFormat="1" x14ac:dyDescent="0.2">
      <c r="C29" s="167"/>
      <c r="D29" s="168"/>
      <c r="E29" s="169"/>
      <c r="F29" s="167"/>
      <c r="G29" s="169"/>
      <c r="H29" s="167"/>
      <c r="I29" s="167"/>
      <c r="J29" s="168"/>
      <c r="K29" s="168"/>
      <c r="L29" s="168"/>
      <c r="M29" s="168"/>
      <c r="N29" s="168"/>
      <c r="O29" s="168"/>
      <c r="P29" s="167"/>
      <c r="Q29" s="168"/>
      <c r="R29" s="168"/>
      <c r="S29" s="170"/>
      <c r="T29" s="168"/>
      <c r="U29" s="168"/>
      <c r="V29" s="168"/>
      <c r="W29" s="168"/>
      <c r="X29" s="168"/>
      <c r="Y29" s="168"/>
      <c r="Z29" s="170"/>
      <c r="AA29" s="168"/>
      <c r="AB29" s="168"/>
      <c r="AC29" s="168"/>
      <c r="AD29" s="168"/>
      <c r="AE29" s="168"/>
      <c r="AF29" s="168"/>
      <c r="AG29" s="168"/>
      <c r="AH29" s="168"/>
      <c r="AI29" s="168"/>
      <c r="AJ29" s="168"/>
      <c r="AK29" s="168"/>
      <c r="AL29" s="168"/>
      <c r="AM29" s="168"/>
      <c r="AN29" s="168"/>
      <c r="AO29" s="168"/>
      <c r="AP29" s="168"/>
      <c r="AQ29" s="168"/>
      <c r="AR29" s="168"/>
      <c r="AS29" s="168"/>
      <c r="AT29" s="168"/>
    </row>
    <row r="30" spans="1:47" s="22" customFormat="1" x14ac:dyDescent="0.2">
      <c r="A30" s="125"/>
      <c r="B30" s="124"/>
      <c r="C30" s="126"/>
      <c r="D30" s="127"/>
      <c r="E30" s="128"/>
      <c r="F30" s="126"/>
      <c r="G30" s="128"/>
      <c r="H30" s="126"/>
      <c r="I30" s="126"/>
      <c r="J30" s="127"/>
      <c r="K30" s="126"/>
      <c r="L30" s="127"/>
      <c r="M30" s="127"/>
      <c r="N30" s="127"/>
      <c r="O30" s="127"/>
      <c r="P30" s="51"/>
      <c r="Q30" s="127"/>
      <c r="R30" s="127"/>
      <c r="S30" s="46"/>
      <c r="T30" s="127"/>
      <c r="U30" s="127"/>
      <c r="V30" s="127"/>
      <c r="W30" s="127"/>
      <c r="X30" s="127"/>
      <c r="Y30" s="127"/>
      <c r="Z30" s="46"/>
      <c r="AA30" s="127"/>
      <c r="AB30" s="127"/>
      <c r="AC30" s="127"/>
      <c r="AD30" s="127"/>
      <c r="AE30" s="127"/>
      <c r="AF30" s="127"/>
      <c r="AG30" s="127"/>
      <c r="AH30" s="127"/>
      <c r="AI30" s="127"/>
      <c r="AJ30" s="127"/>
      <c r="AK30" s="127"/>
      <c r="AL30" s="127"/>
      <c r="AM30" s="127"/>
      <c r="AN30" s="127"/>
      <c r="AO30" s="127"/>
      <c r="AP30" s="127"/>
      <c r="AQ30" s="127"/>
      <c r="AR30" s="127"/>
      <c r="AS30" s="127"/>
      <c r="AT30" s="127"/>
    </row>
    <row r="31" spans="1:47" s="22" customFormat="1" x14ac:dyDescent="0.2">
      <c r="A31" s="125"/>
      <c r="B31" s="124"/>
      <c r="C31" s="126"/>
      <c r="D31" s="127"/>
      <c r="E31" s="128"/>
      <c r="F31" s="126"/>
      <c r="G31" s="128"/>
      <c r="H31" s="126"/>
      <c r="I31" s="126"/>
      <c r="J31" s="127"/>
      <c r="K31" s="126"/>
      <c r="L31" s="127"/>
      <c r="M31" s="127"/>
      <c r="N31" s="127"/>
      <c r="O31" s="127"/>
      <c r="P31" s="51"/>
      <c r="Q31" s="127"/>
      <c r="R31" s="127"/>
      <c r="S31" s="46"/>
      <c r="T31" s="127"/>
      <c r="U31" s="127"/>
      <c r="V31" s="127"/>
      <c r="W31" s="127"/>
      <c r="X31" s="127"/>
      <c r="Y31" s="127"/>
      <c r="Z31" s="46"/>
      <c r="AA31" s="127"/>
      <c r="AB31" s="127"/>
      <c r="AC31" s="127"/>
      <c r="AD31" s="127"/>
      <c r="AE31" s="127"/>
      <c r="AF31" s="127"/>
      <c r="AG31" s="127"/>
      <c r="AH31" s="127"/>
      <c r="AI31" s="127"/>
      <c r="AJ31" s="127"/>
      <c r="AK31" s="127"/>
      <c r="AL31" s="127"/>
      <c r="AM31" s="127"/>
      <c r="AN31" s="127"/>
      <c r="AO31" s="127"/>
      <c r="AP31" s="127"/>
      <c r="AQ31" s="127"/>
      <c r="AR31" s="127"/>
      <c r="AS31" s="127"/>
      <c r="AT31" s="127"/>
    </row>
    <row r="32" spans="1:47" s="22" customFormat="1" x14ac:dyDescent="0.2">
      <c r="A32" s="125"/>
      <c r="B32" s="124"/>
      <c r="C32" s="126"/>
      <c r="D32" s="127"/>
      <c r="E32" s="128"/>
      <c r="F32" s="126"/>
      <c r="G32" s="128"/>
      <c r="H32" s="126"/>
      <c r="I32" s="126"/>
      <c r="J32" s="127"/>
      <c r="K32" s="126"/>
      <c r="L32" s="127"/>
      <c r="M32" s="127"/>
      <c r="N32" s="127"/>
      <c r="O32" s="127"/>
      <c r="P32" s="51"/>
      <c r="Q32" s="127"/>
      <c r="R32" s="127"/>
      <c r="S32" s="46"/>
      <c r="T32" s="127"/>
      <c r="U32" s="127"/>
      <c r="V32" s="127"/>
      <c r="W32" s="127"/>
      <c r="X32" s="127"/>
      <c r="Y32" s="127"/>
      <c r="Z32" s="46"/>
      <c r="AA32" s="127"/>
      <c r="AB32" s="127"/>
      <c r="AC32" s="127"/>
      <c r="AD32" s="127"/>
      <c r="AE32" s="127"/>
      <c r="AF32" s="127"/>
      <c r="AG32" s="127"/>
      <c r="AH32" s="127"/>
      <c r="AI32" s="127"/>
      <c r="AJ32" s="127"/>
      <c r="AK32" s="127"/>
      <c r="AL32" s="127"/>
      <c r="AM32" s="127"/>
      <c r="AN32" s="127"/>
      <c r="AO32" s="127"/>
      <c r="AP32" s="127"/>
      <c r="AQ32" s="127"/>
      <c r="AR32" s="127"/>
      <c r="AS32" s="127"/>
      <c r="AT32" s="127"/>
    </row>
    <row r="33" spans="1:46" s="22" customFormat="1" x14ac:dyDescent="0.2">
      <c r="A33" s="125"/>
      <c r="B33" s="124"/>
      <c r="C33" s="126"/>
      <c r="D33" s="127"/>
      <c r="E33" s="128"/>
      <c r="F33" s="126"/>
      <c r="G33" s="128"/>
      <c r="H33" s="126"/>
      <c r="I33" s="126"/>
      <c r="J33" s="127"/>
      <c r="K33" s="126"/>
      <c r="L33" s="127"/>
      <c r="M33" s="127"/>
      <c r="N33" s="127"/>
      <c r="O33" s="127"/>
      <c r="P33" s="51"/>
      <c r="Q33" s="127"/>
      <c r="R33" s="127"/>
      <c r="S33" s="46"/>
      <c r="T33" s="127"/>
      <c r="U33" s="127"/>
      <c r="V33" s="127"/>
      <c r="W33" s="127"/>
      <c r="X33" s="127"/>
      <c r="Y33" s="127"/>
      <c r="Z33" s="46"/>
      <c r="AA33" s="127"/>
      <c r="AB33" s="127"/>
      <c r="AC33" s="127"/>
      <c r="AD33" s="127"/>
      <c r="AE33" s="127"/>
      <c r="AF33" s="127"/>
      <c r="AG33" s="127"/>
      <c r="AH33" s="127"/>
      <c r="AI33" s="127"/>
      <c r="AJ33" s="127"/>
      <c r="AK33" s="127"/>
      <c r="AL33" s="127"/>
      <c r="AM33" s="127"/>
      <c r="AN33" s="127"/>
      <c r="AO33" s="127"/>
      <c r="AP33" s="127"/>
      <c r="AQ33" s="127"/>
      <c r="AR33" s="127"/>
      <c r="AS33" s="127"/>
      <c r="AT33" s="127"/>
    </row>
    <row r="34" spans="1:46" s="23" customFormat="1" x14ac:dyDescent="0.2">
      <c r="A34" s="125"/>
      <c r="B34" s="129"/>
      <c r="C34" s="126"/>
      <c r="D34" s="127"/>
      <c r="E34" s="128"/>
      <c r="F34" s="126"/>
      <c r="G34" s="128"/>
      <c r="H34" s="126"/>
      <c r="I34" s="126"/>
      <c r="J34" s="127"/>
      <c r="K34" s="126"/>
      <c r="L34" s="127"/>
      <c r="M34" s="127"/>
      <c r="N34" s="127"/>
      <c r="O34" s="127"/>
      <c r="P34" s="108"/>
      <c r="Q34" s="127"/>
      <c r="R34" s="127"/>
      <c r="S34" s="46"/>
      <c r="T34" s="127"/>
      <c r="U34" s="127"/>
      <c r="V34" s="127"/>
      <c r="W34" s="127"/>
      <c r="X34" s="127"/>
      <c r="Y34" s="127"/>
      <c r="Z34" s="46"/>
      <c r="AA34" s="127"/>
      <c r="AB34" s="127"/>
      <c r="AC34" s="127"/>
      <c r="AD34" s="127"/>
      <c r="AE34" s="127"/>
      <c r="AF34" s="127"/>
      <c r="AG34" s="127"/>
      <c r="AH34" s="127"/>
      <c r="AI34" s="127"/>
      <c r="AJ34" s="127"/>
      <c r="AK34" s="127"/>
      <c r="AL34" s="127"/>
      <c r="AM34" s="127"/>
      <c r="AN34" s="127"/>
      <c r="AO34" s="127"/>
      <c r="AP34" s="127"/>
      <c r="AQ34" s="127"/>
      <c r="AR34" s="127"/>
      <c r="AS34" s="127"/>
      <c r="AT34" s="127"/>
    </row>
    <row r="35" spans="1:46" s="22" customFormat="1" x14ac:dyDescent="0.2">
      <c r="A35" s="125"/>
      <c r="B35" s="124"/>
      <c r="C35" s="126"/>
      <c r="D35" s="127"/>
      <c r="E35" s="128"/>
      <c r="F35" s="126"/>
      <c r="G35" s="128"/>
      <c r="H35" s="126"/>
      <c r="I35" s="126"/>
      <c r="J35" s="127"/>
      <c r="K35" s="126"/>
      <c r="L35" s="127"/>
      <c r="M35" s="127"/>
      <c r="N35" s="127"/>
      <c r="O35" s="127"/>
      <c r="P35" s="51"/>
      <c r="Q35" s="127"/>
      <c r="R35" s="127"/>
      <c r="S35" s="46"/>
      <c r="T35" s="127"/>
      <c r="U35" s="127"/>
      <c r="V35" s="127"/>
      <c r="W35" s="127"/>
      <c r="X35" s="127"/>
      <c r="Y35" s="127"/>
      <c r="Z35" s="46"/>
      <c r="AA35" s="127"/>
      <c r="AB35" s="127"/>
      <c r="AC35" s="127"/>
      <c r="AD35" s="127"/>
      <c r="AE35" s="127"/>
      <c r="AF35" s="127"/>
      <c r="AG35" s="127"/>
      <c r="AH35" s="127"/>
      <c r="AI35" s="127"/>
      <c r="AJ35" s="127"/>
      <c r="AK35" s="127"/>
      <c r="AL35" s="127"/>
      <c r="AM35" s="127"/>
      <c r="AN35" s="127"/>
      <c r="AO35" s="127"/>
      <c r="AP35" s="127"/>
      <c r="AQ35" s="127"/>
      <c r="AR35" s="127"/>
      <c r="AS35" s="127"/>
      <c r="AT35" s="127"/>
    </row>
    <row r="36" spans="1:46" s="23" customFormat="1" x14ac:dyDescent="0.2">
      <c r="A36" s="125"/>
      <c r="B36" s="129"/>
      <c r="C36" s="126"/>
      <c r="D36" s="127"/>
      <c r="E36" s="128"/>
      <c r="F36" s="126"/>
      <c r="G36" s="128"/>
      <c r="H36" s="126"/>
      <c r="I36" s="126"/>
      <c r="J36" s="127"/>
      <c r="K36" s="126"/>
      <c r="L36" s="127"/>
      <c r="M36" s="127"/>
      <c r="N36" s="127"/>
      <c r="O36" s="127"/>
      <c r="P36" s="108"/>
      <c r="Q36" s="127"/>
      <c r="R36" s="127"/>
      <c r="S36" s="46"/>
      <c r="T36" s="127"/>
      <c r="U36" s="127"/>
      <c r="V36" s="127"/>
      <c r="W36" s="127"/>
      <c r="X36" s="127"/>
      <c r="Y36" s="127"/>
      <c r="Z36" s="46"/>
      <c r="AA36" s="127"/>
      <c r="AB36" s="127"/>
      <c r="AC36" s="127"/>
      <c r="AD36" s="127"/>
      <c r="AE36" s="127"/>
      <c r="AF36" s="127"/>
      <c r="AG36" s="127"/>
      <c r="AH36" s="127"/>
      <c r="AI36" s="127"/>
      <c r="AJ36" s="127"/>
      <c r="AK36" s="127"/>
      <c r="AL36" s="127"/>
      <c r="AM36" s="127"/>
      <c r="AN36" s="127"/>
      <c r="AO36" s="127"/>
      <c r="AP36" s="127"/>
      <c r="AQ36" s="127"/>
      <c r="AR36" s="127"/>
      <c r="AS36" s="127"/>
      <c r="AT36" s="127"/>
    </row>
    <row r="37" spans="1:46" s="23" customFormat="1" x14ac:dyDescent="0.2">
      <c r="A37" s="125"/>
      <c r="B37" s="129"/>
      <c r="C37" s="126"/>
      <c r="D37" s="127"/>
      <c r="E37" s="128"/>
      <c r="F37" s="126"/>
      <c r="G37" s="128"/>
      <c r="H37" s="126"/>
      <c r="I37" s="126"/>
      <c r="J37" s="127"/>
      <c r="K37" s="126"/>
      <c r="L37" s="127"/>
      <c r="M37" s="127"/>
      <c r="N37" s="127"/>
      <c r="O37" s="127"/>
      <c r="P37" s="108"/>
      <c r="Q37" s="127"/>
      <c r="R37" s="127"/>
      <c r="S37" s="46"/>
      <c r="T37" s="127"/>
      <c r="U37" s="127"/>
      <c r="V37" s="127"/>
      <c r="W37" s="127"/>
      <c r="X37" s="127"/>
      <c r="Y37" s="127"/>
      <c r="Z37" s="46"/>
      <c r="AA37" s="127"/>
      <c r="AB37" s="127"/>
      <c r="AC37" s="127"/>
      <c r="AD37" s="127"/>
      <c r="AE37" s="127"/>
      <c r="AF37" s="127"/>
      <c r="AG37" s="127"/>
      <c r="AH37" s="127"/>
      <c r="AI37" s="127"/>
      <c r="AJ37" s="127"/>
      <c r="AK37" s="127"/>
      <c r="AL37" s="127"/>
      <c r="AM37" s="127"/>
      <c r="AN37" s="127"/>
      <c r="AO37" s="127"/>
      <c r="AP37" s="127"/>
      <c r="AQ37" s="127"/>
      <c r="AR37" s="127"/>
      <c r="AS37" s="127"/>
      <c r="AT37" s="127"/>
    </row>
    <row r="38" spans="1:46" s="22" customFormat="1" x14ac:dyDescent="0.2">
      <c r="A38" s="125"/>
      <c r="B38" s="124"/>
      <c r="C38" s="126"/>
      <c r="D38" s="127"/>
      <c r="E38" s="128"/>
      <c r="F38" s="126"/>
      <c r="G38" s="128"/>
      <c r="H38" s="126"/>
      <c r="I38" s="126"/>
      <c r="J38" s="127"/>
      <c r="K38" s="126"/>
      <c r="L38" s="127"/>
      <c r="M38" s="127"/>
      <c r="N38" s="127"/>
      <c r="O38" s="127"/>
      <c r="P38" s="51"/>
      <c r="Q38" s="127"/>
      <c r="R38" s="127"/>
      <c r="S38" s="46"/>
      <c r="T38" s="127"/>
      <c r="U38" s="127"/>
      <c r="V38" s="127"/>
      <c r="W38" s="127"/>
      <c r="X38" s="127"/>
      <c r="Y38" s="127"/>
      <c r="Z38" s="46"/>
      <c r="AA38" s="127"/>
      <c r="AB38" s="127"/>
      <c r="AC38" s="127"/>
      <c r="AD38" s="127"/>
      <c r="AE38" s="127"/>
      <c r="AF38" s="127"/>
      <c r="AG38" s="127"/>
      <c r="AH38" s="127"/>
      <c r="AI38" s="127"/>
      <c r="AJ38" s="127"/>
      <c r="AK38" s="127"/>
      <c r="AL38" s="127"/>
      <c r="AM38" s="127"/>
      <c r="AN38" s="127"/>
      <c r="AO38" s="127"/>
      <c r="AP38" s="127"/>
      <c r="AQ38" s="127"/>
      <c r="AR38" s="127"/>
      <c r="AS38" s="127"/>
      <c r="AT38" s="127"/>
    </row>
    <row r="39" spans="1:46" s="23" customFormat="1" x14ac:dyDescent="0.2">
      <c r="A39" s="125"/>
      <c r="B39" s="129"/>
      <c r="C39" s="126"/>
      <c r="D39" s="127"/>
      <c r="E39" s="128"/>
      <c r="F39" s="126"/>
      <c r="G39" s="128"/>
      <c r="H39" s="126"/>
      <c r="I39" s="126"/>
      <c r="J39" s="127"/>
      <c r="K39" s="126"/>
      <c r="L39" s="127"/>
      <c r="M39" s="127"/>
      <c r="N39" s="127"/>
      <c r="O39" s="127"/>
      <c r="P39" s="108"/>
      <c r="Q39" s="127"/>
      <c r="R39" s="127"/>
      <c r="S39" s="46"/>
      <c r="T39" s="127"/>
      <c r="U39" s="127"/>
      <c r="V39" s="127"/>
      <c r="W39" s="127"/>
      <c r="X39" s="127"/>
      <c r="Y39" s="127"/>
      <c r="Z39" s="46"/>
      <c r="AA39" s="127"/>
      <c r="AB39" s="127"/>
      <c r="AC39" s="127"/>
      <c r="AD39" s="127"/>
      <c r="AE39" s="127"/>
      <c r="AF39" s="127"/>
      <c r="AG39" s="127"/>
      <c r="AH39" s="127"/>
      <c r="AI39" s="127"/>
      <c r="AJ39" s="127"/>
      <c r="AK39" s="127"/>
      <c r="AL39" s="127"/>
      <c r="AM39" s="127"/>
      <c r="AN39" s="127"/>
      <c r="AO39" s="127"/>
      <c r="AP39" s="127"/>
      <c r="AQ39" s="127"/>
      <c r="AR39" s="127"/>
      <c r="AS39" s="127"/>
      <c r="AT39" s="127"/>
    </row>
    <row r="40" spans="1:46" s="22" customFormat="1" x14ac:dyDescent="0.2">
      <c r="A40" s="125"/>
      <c r="B40" s="124"/>
      <c r="C40" s="126"/>
      <c r="D40" s="127"/>
      <c r="E40" s="128"/>
      <c r="F40" s="126"/>
      <c r="G40" s="128"/>
      <c r="H40" s="126"/>
      <c r="I40" s="126"/>
      <c r="J40" s="127"/>
      <c r="K40" s="126"/>
      <c r="L40" s="127"/>
      <c r="M40" s="127"/>
      <c r="N40" s="127"/>
      <c r="O40" s="127"/>
      <c r="P40" s="51"/>
      <c r="Q40" s="127"/>
      <c r="R40" s="127"/>
      <c r="S40" s="46"/>
      <c r="T40" s="127"/>
      <c r="U40" s="127"/>
      <c r="V40" s="127"/>
      <c r="W40" s="127"/>
      <c r="X40" s="127"/>
      <c r="Y40" s="127"/>
      <c r="Z40" s="46"/>
      <c r="AA40" s="127"/>
      <c r="AB40" s="127"/>
      <c r="AC40" s="127"/>
      <c r="AD40" s="127"/>
      <c r="AE40" s="127"/>
      <c r="AF40" s="127"/>
      <c r="AG40" s="127"/>
      <c r="AH40" s="127"/>
      <c r="AI40" s="127"/>
      <c r="AJ40" s="127"/>
      <c r="AK40" s="127"/>
      <c r="AL40" s="127"/>
      <c r="AM40" s="127"/>
      <c r="AN40" s="127"/>
      <c r="AO40" s="127"/>
      <c r="AP40" s="127"/>
      <c r="AQ40" s="127"/>
      <c r="AR40" s="127"/>
      <c r="AS40" s="127"/>
      <c r="AT40" s="127"/>
    </row>
    <row r="41" spans="1:46" s="22" customFormat="1" x14ac:dyDescent="0.2">
      <c r="A41" s="124"/>
      <c r="B41" s="124"/>
      <c r="C41" s="130"/>
      <c r="D41" s="124"/>
      <c r="E41" s="131"/>
      <c r="F41" s="125"/>
      <c r="G41" s="131"/>
      <c r="H41" s="125"/>
      <c r="I41" s="132"/>
      <c r="J41" s="133"/>
      <c r="K41" s="132"/>
      <c r="L41" s="133"/>
      <c r="M41" s="133"/>
      <c r="N41" s="133"/>
      <c r="O41" s="133"/>
      <c r="P41" s="51"/>
      <c r="Q41" s="133"/>
      <c r="R41" s="133"/>
      <c r="S41" s="47"/>
      <c r="T41" s="133"/>
      <c r="U41" s="150"/>
      <c r="V41" s="133"/>
      <c r="W41" s="150"/>
      <c r="X41" s="150"/>
      <c r="Y41" s="150"/>
      <c r="Z41" s="250"/>
      <c r="AA41" s="150"/>
      <c r="AB41" s="150"/>
      <c r="AC41" s="150"/>
      <c r="AD41" s="150"/>
      <c r="AE41" s="150"/>
      <c r="AF41" s="150"/>
      <c r="AG41" s="150"/>
      <c r="AH41" s="150"/>
      <c r="AI41" s="150"/>
      <c r="AJ41" s="150"/>
      <c r="AK41" s="150"/>
      <c r="AL41" s="150"/>
      <c r="AM41" s="150"/>
    </row>
    <row r="42" spans="1:46" s="22" customFormat="1" x14ac:dyDescent="0.2">
      <c r="A42" s="124"/>
      <c r="B42" s="124"/>
      <c r="C42" s="130"/>
      <c r="D42" s="124"/>
      <c r="E42" s="131"/>
      <c r="F42" s="125"/>
      <c r="G42" s="131"/>
      <c r="H42" s="125"/>
      <c r="I42" s="132"/>
      <c r="J42" s="133"/>
      <c r="K42" s="132"/>
      <c r="L42" s="133"/>
      <c r="M42" s="133"/>
      <c r="N42" s="133"/>
      <c r="O42" s="133"/>
      <c r="P42" s="51"/>
      <c r="Q42" s="133"/>
      <c r="R42" s="133"/>
      <c r="S42" s="47"/>
      <c r="T42" s="133"/>
      <c r="U42" s="150"/>
      <c r="V42" s="133"/>
      <c r="W42" s="150"/>
      <c r="X42" s="150"/>
      <c r="Y42" s="150"/>
      <c r="Z42" s="250"/>
      <c r="AA42" s="150"/>
      <c r="AB42" s="150"/>
      <c r="AC42" s="150"/>
      <c r="AD42" s="150"/>
      <c r="AE42" s="150"/>
      <c r="AF42" s="150"/>
      <c r="AG42" s="150"/>
      <c r="AH42" s="150"/>
      <c r="AI42" s="150"/>
      <c r="AJ42" s="150"/>
      <c r="AK42" s="150"/>
      <c r="AL42" s="150"/>
      <c r="AM42" s="150"/>
    </row>
    <row r="43" spans="1:46" s="22" customFormat="1" x14ac:dyDescent="0.2">
      <c r="A43" s="124"/>
      <c r="B43" s="124"/>
      <c r="C43" s="130"/>
      <c r="D43" s="124"/>
      <c r="E43" s="131"/>
      <c r="F43" s="125"/>
      <c r="G43" s="131"/>
      <c r="H43" s="125"/>
      <c r="I43" s="132"/>
      <c r="J43" s="133"/>
      <c r="K43" s="132"/>
      <c r="L43" s="133"/>
      <c r="M43" s="133"/>
      <c r="N43" s="133"/>
      <c r="O43" s="133"/>
      <c r="P43" s="51"/>
      <c r="Q43" s="133"/>
      <c r="R43" s="133"/>
      <c r="S43" s="47"/>
      <c r="T43" s="133"/>
      <c r="U43" s="150"/>
      <c r="V43" s="133"/>
      <c r="W43" s="150"/>
      <c r="X43" s="150"/>
      <c r="Y43" s="150"/>
      <c r="Z43" s="250"/>
      <c r="AA43" s="150"/>
      <c r="AB43" s="150"/>
      <c r="AC43" s="150"/>
      <c r="AD43" s="150"/>
      <c r="AE43" s="150"/>
      <c r="AF43" s="150"/>
      <c r="AG43" s="150"/>
      <c r="AH43" s="150"/>
      <c r="AI43" s="150"/>
      <c r="AJ43" s="150"/>
      <c r="AK43" s="150"/>
      <c r="AL43" s="150"/>
      <c r="AM43" s="150"/>
    </row>
    <row r="44" spans="1:46" s="22" customFormat="1" x14ac:dyDescent="0.2">
      <c r="A44" s="124"/>
      <c r="B44" s="124"/>
      <c r="C44" s="130"/>
      <c r="D44" s="124"/>
      <c r="E44" s="131"/>
      <c r="F44" s="125"/>
      <c r="G44" s="131"/>
      <c r="H44" s="125"/>
      <c r="I44" s="132"/>
      <c r="J44" s="133"/>
      <c r="K44" s="132"/>
      <c r="L44" s="133"/>
      <c r="M44" s="133"/>
      <c r="N44" s="133"/>
      <c r="O44" s="133"/>
      <c r="P44" s="51"/>
      <c r="Q44" s="133"/>
      <c r="R44" s="133"/>
      <c r="S44" s="47"/>
      <c r="T44" s="133"/>
      <c r="U44" s="150"/>
      <c r="V44" s="133"/>
      <c r="W44" s="150"/>
      <c r="X44" s="150"/>
      <c r="Y44" s="150"/>
      <c r="Z44" s="250"/>
      <c r="AA44" s="150"/>
      <c r="AB44" s="150"/>
      <c r="AC44" s="150"/>
      <c r="AD44" s="150"/>
      <c r="AE44" s="150"/>
      <c r="AF44" s="150"/>
      <c r="AG44" s="150"/>
      <c r="AH44" s="150"/>
      <c r="AI44" s="150"/>
      <c r="AJ44" s="150"/>
      <c r="AK44" s="150"/>
      <c r="AL44" s="150"/>
      <c r="AM44" s="150"/>
    </row>
    <row r="45" spans="1:46" s="22" customFormat="1" x14ac:dyDescent="0.2">
      <c r="A45" s="124"/>
      <c r="B45" s="124"/>
      <c r="C45" s="130"/>
      <c r="D45" s="124"/>
      <c r="E45" s="131"/>
      <c r="F45" s="125"/>
      <c r="G45" s="131"/>
      <c r="H45" s="125"/>
      <c r="I45" s="132"/>
      <c r="J45" s="133"/>
      <c r="K45" s="132"/>
      <c r="L45" s="133"/>
      <c r="M45" s="133"/>
      <c r="N45" s="133"/>
      <c r="O45" s="133"/>
      <c r="P45" s="51"/>
      <c r="Q45" s="133"/>
      <c r="R45" s="133"/>
      <c r="S45" s="47"/>
      <c r="T45" s="133"/>
      <c r="U45" s="150"/>
      <c r="V45" s="133"/>
      <c r="W45" s="150"/>
      <c r="X45" s="150"/>
      <c r="Y45" s="150"/>
      <c r="Z45" s="250"/>
      <c r="AA45" s="150"/>
      <c r="AB45" s="150"/>
      <c r="AC45" s="150"/>
      <c r="AD45" s="150"/>
      <c r="AE45" s="150"/>
      <c r="AF45" s="150"/>
      <c r="AG45" s="150"/>
      <c r="AH45" s="150"/>
      <c r="AI45" s="150"/>
      <c r="AJ45" s="150"/>
      <c r="AK45" s="150"/>
      <c r="AL45" s="150"/>
      <c r="AM45" s="150"/>
    </row>
    <row r="46" spans="1:46" s="22" customFormat="1" x14ac:dyDescent="0.2">
      <c r="A46" s="124"/>
      <c r="B46" s="124"/>
      <c r="C46" s="130"/>
      <c r="D46" s="124"/>
      <c r="E46" s="131"/>
      <c r="F46" s="125"/>
      <c r="G46" s="131"/>
      <c r="H46" s="125"/>
      <c r="I46" s="132"/>
      <c r="J46" s="133"/>
      <c r="K46" s="132"/>
      <c r="L46" s="133"/>
      <c r="M46" s="133"/>
      <c r="N46" s="133"/>
      <c r="O46" s="133"/>
      <c r="P46" s="51"/>
      <c r="Q46" s="133"/>
      <c r="R46" s="133"/>
      <c r="S46" s="47"/>
      <c r="T46" s="133"/>
      <c r="U46" s="150"/>
      <c r="V46" s="133"/>
      <c r="W46" s="150"/>
      <c r="X46" s="150"/>
      <c r="Y46" s="150"/>
      <c r="Z46" s="250"/>
      <c r="AA46" s="150"/>
      <c r="AB46" s="150"/>
      <c r="AC46" s="150"/>
      <c r="AD46" s="150"/>
      <c r="AE46" s="150"/>
      <c r="AF46" s="150"/>
      <c r="AG46" s="150"/>
      <c r="AH46" s="150"/>
      <c r="AI46" s="150"/>
      <c r="AJ46" s="150"/>
      <c r="AK46" s="150"/>
      <c r="AL46" s="150"/>
      <c r="AM46" s="150"/>
    </row>
    <row r="47" spans="1:46" s="22" customFormat="1" x14ac:dyDescent="0.2">
      <c r="A47" s="124"/>
      <c r="B47" s="124"/>
      <c r="C47" s="130"/>
      <c r="D47" s="124"/>
      <c r="E47" s="131"/>
      <c r="F47" s="125"/>
      <c r="G47" s="131"/>
      <c r="H47" s="125"/>
      <c r="I47" s="132"/>
      <c r="J47" s="133"/>
      <c r="K47" s="132"/>
      <c r="L47" s="133"/>
      <c r="M47" s="133"/>
      <c r="N47" s="133"/>
      <c r="O47" s="133"/>
      <c r="P47" s="51"/>
      <c r="Q47" s="133"/>
      <c r="R47" s="133"/>
      <c r="S47" s="47"/>
      <c r="T47" s="133"/>
      <c r="U47" s="150"/>
      <c r="V47" s="133"/>
      <c r="W47" s="150"/>
      <c r="X47" s="150"/>
      <c r="Y47" s="150"/>
      <c r="Z47" s="250"/>
      <c r="AA47" s="150"/>
      <c r="AB47" s="150"/>
      <c r="AC47" s="150"/>
      <c r="AD47" s="150"/>
      <c r="AE47" s="150"/>
      <c r="AF47" s="150"/>
      <c r="AG47" s="150"/>
      <c r="AH47" s="150"/>
      <c r="AI47" s="150"/>
      <c r="AJ47" s="150"/>
      <c r="AK47" s="150"/>
      <c r="AL47" s="150"/>
      <c r="AM47" s="150"/>
    </row>
    <row r="48" spans="1:46" x14ac:dyDescent="0.2">
      <c r="I48" s="134"/>
      <c r="J48" s="135"/>
      <c r="K48" s="134"/>
      <c r="L48" s="135"/>
      <c r="M48" s="135"/>
      <c r="N48" s="135"/>
      <c r="O48" s="135"/>
      <c r="Q48" s="135"/>
      <c r="R48" s="135"/>
      <c r="S48" s="48"/>
      <c r="T48" s="135"/>
      <c r="U48" s="151"/>
      <c r="V48" s="135"/>
      <c r="W48" s="151"/>
      <c r="X48" s="151"/>
      <c r="Y48" s="151"/>
      <c r="Z48" s="249"/>
      <c r="AA48" s="151"/>
      <c r="AB48" s="151"/>
      <c r="AC48" s="151"/>
      <c r="AD48" s="151"/>
      <c r="AE48" s="151"/>
      <c r="AF48" s="151"/>
      <c r="AG48" s="151"/>
      <c r="AH48" s="151"/>
      <c r="AI48" s="151"/>
      <c r="AJ48" s="151"/>
      <c r="AK48" s="151"/>
      <c r="AL48" s="151"/>
      <c r="AM48" s="151"/>
    </row>
    <row r="49" spans="1:39" x14ac:dyDescent="0.2">
      <c r="I49" s="134"/>
      <c r="J49" s="135"/>
      <c r="K49" s="134"/>
      <c r="L49" s="135"/>
      <c r="M49" s="135"/>
      <c r="N49" s="135"/>
      <c r="O49" s="135"/>
      <c r="Q49" s="135"/>
      <c r="R49" s="135"/>
      <c r="S49" s="48"/>
      <c r="T49" s="135"/>
      <c r="U49" s="151"/>
      <c r="V49" s="135"/>
      <c r="W49" s="151"/>
      <c r="X49" s="151"/>
      <c r="Y49" s="151"/>
      <c r="Z49" s="249"/>
      <c r="AA49" s="151"/>
      <c r="AB49" s="151"/>
      <c r="AC49" s="151"/>
      <c r="AD49" s="151"/>
      <c r="AE49" s="151"/>
      <c r="AF49" s="151"/>
      <c r="AG49" s="151"/>
      <c r="AH49" s="151"/>
      <c r="AI49" s="151"/>
      <c r="AJ49" s="151"/>
      <c r="AK49" s="151"/>
      <c r="AL49" s="151"/>
      <c r="AM49" s="151"/>
    </row>
    <row r="50" spans="1:39" x14ac:dyDescent="0.2">
      <c r="I50" s="134"/>
      <c r="J50" s="135"/>
      <c r="K50" s="134"/>
      <c r="L50" s="135"/>
      <c r="M50" s="135"/>
      <c r="N50" s="135"/>
      <c r="O50" s="135"/>
      <c r="Q50" s="135"/>
      <c r="R50" s="135"/>
      <c r="S50" s="48"/>
      <c r="T50" s="135"/>
      <c r="U50" s="151"/>
      <c r="V50" s="135"/>
      <c r="W50" s="151"/>
      <c r="X50" s="151"/>
      <c r="Y50" s="151"/>
      <c r="Z50" s="249"/>
      <c r="AA50" s="151"/>
      <c r="AB50" s="151"/>
      <c r="AC50" s="151"/>
      <c r="AD50" s="151"/>
      <c r="AE50" s="151"/>
      <c r="AF50" s="151"/>
      <c r="AG50" s="151"/>
      <c r="AH50" s="151"/>
      <c r="AI50" s="151"/>
      <c r="AJ50" s="151"/>
      <c r="AK50" s="151"/>
      <c r="AL50" s="151"/>
      <c r="AM50" s="151"/>
    </row>
    <row r="51" spans="1:39" x14ac:dyDescent="0.2">
      <c r="I51" s="134"/>
      <c r="J51" s="135"/>
      <c r="K51" s="134"/>
      <c r="L51" s="135"/>
      <c r="M51" s="135"/>
      <c r="N51" s="135"/>
      <c r="O51" s="135"/>
      <c r="Q51" s="135"/>
      <c r="R51" s="135"/>
      <c r="S51" s="48"/>
      <c r="T51" s="135"/>
      <c r="U51" s="151"/>
      <c r="V51" s="135"/>
      <c r="W51" s="151"/>
      <c r="X51" s="151"/>
      <c r="Y51" s="151"/>
      <c r="Z51" s="249"/>
      <c r="AA51" s="151"/>
      <c r="AB51" s="151"/>
      <c r="AC51" s="151"/>
      <c r="AD51" s="151"/>
      <c r="AE51" s="151"/>
      <c r="AF51" s="151"/>
      <c r="AG51" s="151"/>
      <c r="AH51" s="151"/>
      <c r="AI51" s="151"/>
      <c r="AJ51" s="151"/>
      <c r="AK51" s="151"/>
      <c r="AL51" s="151"/>
      <c r="AM51" s="151"/>
    </row>
    <row r="52" spans="1:39" x14ac:dyDescent="0.2">
      <c r="I52" s="134"/>
      <c r="J52" s="135"/>
      <c r="K52" s="134"/>
      <c r="L52" s="135"/>
      <c r="M52" s="135"/>
      <c r="N52" s="135"/>
      <c r="O52" s="135"/>
      <c r="Q52" s="135"/>
      <c r="R52" s="135"/>
      <c r="S52" s="48"/>
      <c r="T52" s="135"/>
      <c r="U52" s="151"/>
      <c r="V52" s="135"/>
      <c r="W52" s="151"/>
      <c r="X52" s="151"/>
      <c r="Y52" s="151"/>
      <c r="Z52" s="249"/>
      <c r="AA52" s="151"/>
      <c r="AB52" s="151"/>
      <c r="AC52" s="151"/>
      <c r="AD52" s="151"/>
      <c r="AE52" s="151"/>
      <c r="AF52" s="151"/>
      <c r="AG52" s="151"/>
      <c r="AH52" s="151"/>
      <c r="AI52" s="151"/>
      <c r="AJ52" s="151"/>
      <c r="AK52" s="151"/>
      <c r="AL52" s="151"/>
      <c r="AM52" s="151"/>
    </row>
    <row r="53" spans="1:39" x14ac:dyDescent="0.2">
      <c r="I53" s="134"/>
      <c r="J53" s="135"/>
      <c r="K53" s="134"/>
      <c r="L53" s="135"/>
      <c r="M53" s="135"/>
      <c r="N53" s="135"/>
      <c r="O53" s="135"/>
      <c r="Q53" s="135"/>
      <c r="R53" s="135"/>
      <c r="S53" s="48"/>
      <c r="T53" s="135"/>
      <c r="U53" s="151"/>
      <c r="V53" s="135"/>
      <c r="W53" s="151"/>
      <c r="X53" s="151"/>
      <c r="Y53" s="151"/>
      <c r="Z53" s="249"/>
      <c r="AA53" s="151"/>
      <c r="AB53" s="151"/>
      <c r="AC53" s="151"/>
      <c r="AD53" s="151"/>
      <c r="AE53" s="151"/>
      <c r="AF53" s="151"/>
      <c r="AG53" s="151"/>
      <c r="AH53" s="151"/>
      <c r="AI53" s="151"/>
      <c r="AJ53" s="151"/>
      <c r="AK53" s="151"/>
      <c r="AL53" s="151"/>
      <c r="AM53" s="151"/>
    </row>
    <row r="54" spans="1:39" x14ac:dyDescent="0.2">
      <c r="I54" s="134"/>
      <c r="J54" s="135"/>
      <c r="K54" s="134"/>
      <c r="L54" s="135"/>
      <c r="M54" s="135"/>
      <c r="N54" s="135"/>
      <c r="O54" s="135"/>
      <c r="Q54" s="135"/>
      <c r="R54" s="135"/>
      <c r="S54" s="48"/>
      <c r="T54" s="135"/>
      <c r="U54" s="151"/>
      <c r="V54" s="135"/>
      <c r="W54" s="151"/>
      <c r="X54" s="151"/>
      <c r="Y54" s="151"/>
      <c r="Z54" s="249"/>
      <c r="AA54" s="151"/>
      <c r="AB54" s="151"/>
      <c r="AC54" s="151"/>
      <c r="AD54" s="151"/>
      <c r="AE54" s="151"/>
      <c r="AF54" s="151"/>
      <c r="AG54" s="151"/>
      <c r="AH54" s="151"/>
      <c r="AI54" s="151"/>
      <c r="AJ54" s="151"/>
      <c r="AK54" s="151"/>
      <c r="AL54" s="151"/>
      <c r="AM54" s="151"/>
    </row>
    <row r="55" spans="1:39" x14ac:dyDescent="0.2">
      <c r="I55" s="134"/>
      <c r="J55" s="135"/>
      <c r="K55" s="134"/>
      <c r="L55" s="135"/>
      <c r="M55" s="135"/>
      <c r="N55" s="135"/>
      <c r="O55" s="135"/>
      <c r="Q55" s="135"/>
      <c r="R55" s="135"/>
      <c r="S55" s="48"/>
      <c r="T55" s="135"/>
      <c r="U55" s="151"/>
      <c r="V55" s="135"/>
      <c r="W55" s="151"/>
      <c r="X55" s="151"/>
      <c r="Y55" s="151"/>
      <c r="Z55" s="249"/>
      <c r="AA55" s="151"/>
      <c r="AB55" s="151"/>
      <c r="AC55" s="151"/>
      <c r="AD55" s="151"/>
      <c r="AE55" s="151"/>
      <c r="AF55" s="151"/>
      <c r="AG55" s="151"/>
      <c r="AH55" s="151"/>
      <c r="AI55" s="151"/>
      <c r="AJ55" s="151"/>
      <c r="AK55" s="151"/>
      <c r="AL55" s="151"/>
      <c r="AM55" s="151"/>
    </row>
    <row r="56" spans="1:39" x14ac:dyDescent="0.2">
      <c r="I56" s="134"/>
      <c r="J56" s="135"/>
      <c r="K56" s="134"/>
      <c r="L56" s="135"/>
      <c r="M56" s="135"/>
      <c r="N56" s="135"/>
      <c r="O56" s="135"/>
      <c r="Q56" s="135"/>
      <c r="R56" s="135"/>
      <c r="S56" s="48"/>
      <c r="T56" s="135"/>
      <c r="U56" s="151"/>
      <c r="V56" s="135"/>
      <c r="W56" s="151"/>
      <c r="X56" s="151"/>
      <c r="Y56" s="151"/>
      <c r="Z56" s="249"/>
      <c r="AA56" s="151"/>
      <c r="AB56" s="151"/>
      <c r="AC56" s="151"/>
      <c r="AD56" s="151"/>
      <c r="AE56" s="151"/>
      <c r="AF56" s="151"/>
      <c r="AG56" s="151"/>
      <c r="AH56" s="151"/>
      <c r="AI56" s="151"/>
      <c r="AJ56" s="151"/>
      <c r="AK56" s="151"/>
      <c r="AL56" s="151"/>
      <c r="AM56" s="151"/>
    </row>
    <row r="57" spans="1:39" x14ac:dyDescent="0.2">
      <c r="I57" s="134"/>
      <c r="J57" s="135"/>
      <c r="K57" s="134"/>
      <c r="L57" s="135"/>
      <c r="M57" s="135"/>
      <c r="N57" s="135"/>
      <c r="O57" s="135"/>
      <c r="Q57" s="135"/>
      <c r="R57" s="135"/>
      <c r="S57" s="48"/>
      <c r="T57" s="135"/>
      <c r="U57" s="151"/>
      <c r="V57" s="135"/>
      <c r="W57" s="151"/>
      <c r="X57" s="151"/>
      <c r="Y57" s="151"/>
      <c r="Z57" s="249"/>
      <c r="AA57" s="151"/>
      <c r="AB57" s="151"/>
      <c r="AC57" s="151"/>
      <c r="AD57" s="151"/>
      <c r="AE57" s="151"/>
      <c r="AF57" s="151"/>
      <c r="AG57" s="151"/>
      <c r="AH57" s="151"/>
      <c r="AI57" s="151"/>
      <c r="AJ57" s="151"/>
      <c r="AK57" s="151"/>
      <c r="AL57" s="151"/>
      <c r="AM57" s="151"/>
    </row>
    <row r="58" spans="1:39" x14ac:dyDescent="0.2">
      <c r="I58" s="134"/>
      <c r="J58" s="135"/>
      <c r="K58" s="134"/>
      <c r="L58" s="135"/>
      <c r="M58" s="135"/>
      <c r="N58" s="135"/>
      <c r="O58" s="135"/>
      <c r="Q58" s="135"/>
      <c r="R58" s="135"/>
      <c r="S58" s="48"/>
      <c r="T58" s="135"/>
      <c r="U58" s="151"/>
      <c r="V58" s="135"/>
      <c r="W58" s="151"/>
      <c r="X58" s="151"/>
      <c r="Y58" s="151"/>
      <c r="Z58" s="249"/>
      <c r="AA58" s="151"/>
      <c r="AB58" s="151"/>
      <c r="AC58" s="151"/>
      <c r="AD58" s="151"/>
      <c r="AE58" s="151"/>
      <c r="AF58" s="151"/>
      <c r="AG58" s="151"/>
      <c r="AH58" s="151"/>
      <c r="AI58" s="151"/>
      <c r="AJ58" s="151"/>
      <c r="AK58" s="151"/>
      <c r="AL58" s="151"/>
      <c r="AM58" s="151"/>
    </row>
    <row r="59" spans="1:39" x14ac:dyDescent="0.2">
      <c r="I59" s="134"/>
      <c r="J59" s="135"/>
      <c r="K59" s="134"/>
      <c r="L59" s="135"/>
      <c r="M59" s="135"/>
      <c r="N59" s="135"/>
      <c r="O59" s="135"/>
      <c r="Q59" s="135"/>
      <c r="R59" s="135"/>
      <c r="S59" s="48"/>
      <c r="T59" s="135"/>
      <c r="U59" s="151"/>
      <c r="V59" s="135"/>
      <c r="W59" s="151"/>
      <c r="X59" s="151"/>
      <c r="Y59" s="151"/>
      <c r="Z59" s="249"/>
      <c r="AA59" s="151"/>
      <c r="AB59" s="151"/>
      <c r="AC59" s="151"/>
      <c r="AD59" s="151"/>
      <c r="AE59" s="151"/>
      <c r="AF59" s="151"/>
      <c r="AG59" s="151"/>
      <c r="AH59" s="151"/>
      <c r="AI59" s="151"/>
      <c r="AJ59" s="151"/>
      <c r="AK59" s="151"/>
      <c r="AL59" s="151"/>
      <c r="AM59" s="151"/>
    </row>
    <row r="60" spans="1:39" x14ac:dyDescent="0.2">
      <c r="I60" s="134"/>
      <c r="J60" s="135"/>
      <c r="K60" s="134"/>
      <c r="L60" s="135"/>
      <c r="M60" s="135"/>
      <c r="N60" s="135"/>
      <c r="O60" s="135"/>
      <c r="Q60" s="135"/>
      <c r="R60" s="135"/>
      <c r="S60" s="48"/>
      <c r="T60" s="135"/>
      <c r="U60" s="151"/>
      <c r="V60" s="135"/>
      <c r="W60" s="151"/>
      <c r="X60" s="151"/>
      <c r="Y60" s="151"/>
      <c r="Z60" s="249"/>
      <c r="AA60" s="151"/>
      <c r="AB60" s="151"/>
      <c r="AC60" s="151"/>
      <c r="AD60" s="151"/>
      <c r="AE60" s="151"/>
      <c r="AF60" s="151"/>
      <c r="AG60" s="151"/>
      <c r="AH60" s="151"/>
      <c r="AI60" s="151"/>
      <c r="AJ60" s="151"/>
      <c r="AK60" s="151"/>
      <c r="AL60" s="151"/>
      <c r="AM60" s="151"/>
    </row>
    <row r="61" spans="1:39" x14ac:dyDescent="0.2">
      <c r="I61" s="134"/>
      <c r="J61" s="135"/>
      <c r="K61" s="134"/>
      <c r="L61" s="135"/>
      <c r="M61" s="135"/>
      <c r="N61" s="135"/>
      <c r="O61" s="135"/>
      <c r="Q61" s="135"/>
      <c r="R61" s="135"/>
      <c r="S61" s="48"/>
      <c r="T61" s="135"/>
      <c r="U61" s="151"/>
      <c r="V61" s="135"/>
      <c r="W61" s="151"/>
      <c r="X61" s="151"/>
      <c r="Y61" s="151"/>
      <c r="Z61" s="249"/>
      <c r="AA61" s="151"/>
      <c r="AB61" s="151"/>
      <c r="AC61" s="151"/>
      <c r="AD61" s="151"/>
      <c r="AE61" s="151"/>
      <c r="AF61" s="151"/>
      <c r="AG61" s="151"/>
      <c r="AH61" s="151"/>
      <c r="AI61" s="151"/>
      <c r="AJ61" s="151"/>
      <c r="AK61" s="151"/>
      <c r="AL61" s="151"/>
      <c r="AM61" s="151"/>
    </row>
    <row r="62" spans="1:39" x14ac:dyDescent="0.2">
      <c r="A62" s="21"/>
      <c r="B62" s="21"/>
      <c r="C62" s="21"/>
      <c r="D62" s="21"/>
      <c r="E62" s="21"/>
      <c r="F62" s="21"/>
      <c r="G62" s="21"/>
      <c r="H62" s="21"/>
      <c r="I62" s="134"/>
      <c r="J62" s="135"/>
      <c r="K62" s="134"/>
      <c r="L62" s="135"/>
      <c r="M62" s="135"/>
      <c r="N62" s="135"/>
      <c r="O62" s="135"/>
      <c r="Q62" s="135"/>
      <c r="R62" s="135"/>
      <c r="S62" s="48"/>
      <c r="T62" s="135"/>
      <c r="U62" s="151"/>
      <c r="V62" s="135"/>
      <c r="W62" s="151"/>
      <c r="X62" s="151"/>
      <c r="Y62" s="151"/>
      <c r="Z62" s="249"/>
      <c r="AA62" s="151"/>
      <c r="AB62" s="151"/>
      <c r="AC62" s="151"/>
      <c r="AD62" s="151"/>
      <c r="AE62" s="151"/>
      <c r="AF62" s="151"/>
      <c r="AG62" s="151"/>
      <c r="AH62" s="151"/>
      <c r="AI62" s="151"/>
      <c r="AJ62" s="151"/>
      <c r="AK62" s="151"/>
      <c r="AL62" s="151"/>
      <c r="AM62" s="151"/>
    </row>
    <row r="63" spans="1:39" x14ac:dyDescent="0.2">
      <c r="A63" s="21"/>
      <c r="B63" s="21"/>
      <c r="C63" s="21"/>
      <c r="D63" s="21"/>
      <c r="E63" s="21"/>
      <c r="F63" s="21"/>
      <c r="G63" s="21"/>
      <c r="H63" s="21"/>
      <c r="I63" s="134"/>
      <c r="J63" s="135"/>
      <c r="K63" s="134"/>
      <c r="L63" s="135"/>
      <c r="M63" s="135"/>
      <c r="N63" s="135"/>
      <c r="O63" s="135"/>
      <c r="Q63" s="135"/>
      <c r="R63" s="135"/>
      <c r="S63" s="48"/>
      <c r="T63" s="135"/>
      <c r="U63" s="151"/>
      <c r="V63" s="135"/>
      <c r="W63" s="151"/>
      <c r="X63" s="151"/>
      <c r="Y63" s="151"/>
      <c r="Z63" s="249"/>
      <c r="AA63" s="151"/>
      <c r="AB63" s="151"/>
      <c r="AC63" s="151"/>
      <c r="AD63" s="151"/>
      <c r="AE63" s="151"/>
      <c r="AF63" s="151"/>
      <c r="AG63" s="151"/>
      <c r="AH63" s="151"/>
      <c r="AI63" s="151"/>
      <c r="AJ63" s="151"/>
      <c r="AK63" s="151"/>
      <c r="AL63" s="151"/>
      <c r="AM63" s="151"/>
    </row>
    <row r="64" spans="1:39" x14ac:dyDescent="0.2">
      <c r="A64" s="21"/>
      <c r="B64" s="21"/>
      <c r="C64" s="21"/>
      <c r="D64" s="21"/>
      <c r="E64" s="21"/>
      <c r="F64" s="21"/>
      <c r="G64" s="21"/>
      <c r="H64" s="21"/>
      <c r="I64" s="134"/>
      <c r="J64" s="135"/>
      <c r="K64" s="134"/>
      <c r="L64" s="135"/>
      <c r="M64" s="135"/>
      <c r="N64" s="135"/>
      <c r="O64" s="135"/>
      <c r="Q64" s="135"/>
      <c r="R64" s="135"/>
      <c r="S64" s="48"/>
      <c r="T64" s="135"/>
      <c r="U64" s="151"/>
      <c r="V64" s="135"/>
      <c r="W64" s="151"/>
      <c r="X64" s="151"/>
      <c r="Y64" s="151"/>
      <c r="Z64" s="249"/>
      <c r="AA64" s="151"/>
      <c r="AB64" s="151"/>
      <c r="AC64" s="151"/>
      <c r="AD64" s="151"/>
      <c r="AE64" s="151"/>
      <c r="AF64" s="151"/>
      <c r="AG64" s="151"/>
      <c r="AH64" s="151"/>
      <c r="AI64" s="151"/>
      <c r="AJ64" s="151"/>
      <c r="AK64" s="151"/>
      <c r="AL64" s="151"/>
      <c r="AM64" s="151"/>
    </row>
    <row r="65" spans="1:39" x14ac:dyDescent="0.2">
      <c r="A65" s="21"/>
      <c r="B65" s="21"/>
      <c r="C65" s="21"/>
      <c r="D65" s="21"/>
      <c r="E65" s="21"/>
      <c r="F65" s="21"/>
      <c r="G65" s="21"/>
      <c r="H65" s="21"/>
      <c r="I65" s="134"/>
      <c r="J65" s="135"/>
      <c r="K65" s="134"/>
      <c r="L65" s="135"/>
      <c r="M65" s="135"/>
      <c r="N65" s="135"/>
      <c r="O65" s="135"/>
      <c r="Q65" s="135"/>
      <c r="R65" s="135"/>
      <c r="S65" s="48"/>
      <c r="T65" s="135"/>
      <c r="U65" s="151"/>
      <c r="V65" s="135"/>
      <c r="W65" s="151"/>
      <c r="X65" s="151"/>
      <c r="Y65" s="151"/>
      <c r="Z65" s="249"/>
      <c r="AA65" s="151"/>
      <c r="AB65" s="151"/>
      <c r="AC65" s="151"/>
      <c r="AD65" s="151"/>
      <c r="AE65" s="151"/>
      <c r="AF65" s="151"/>
      <c r="AG65" s="151"/>
      <c r="AH65" s="151"/>
      <c r="AI65" s="151"/>
      <c r="AJ65" s="151"/>
      <c r="AK65" s="151"/>
      <c r="AL65" s="151"/>
      <c r="AM65" s="151"/>
    </row>
    <row r="66" spans="1:39" x14ac:dyDescent="0.2">
      <c r="A66" s="21"/>
      <c r="B66" s="21"/>
      <c r="C66" s="21"/>
      <c r="D66" s="21"/>
      <c r="E66" s="21"/>
      <c r="F66" s="21"/>
      <c r="G66" s="21"/>
      <c r="H66" s="21"/>
      <c r="I66" s="134"/>
      <c r="J66" s="135"/>
      <c r="K66" s="134"/>
      <c r="L66" s="135"/>
      <c r="M66" s="135"/>
      <c r="N66" s="135"/>
      <c r="O66" s="135"/>
      <c r="Q66" s="135"/>
      <c r="R66" s="135"/>
      <c r="S66" s="48"/>
      <c r="T66" s="135"/>
      <c r="U66" s="151"/>
      <c r="V66" s="135"/>
      <c r="W66" s="151"/>
      <c r="X66" s="151"/>
      <c r="Y66" s="151"/>
      <c r="Z66" s="249"/>
      <c r="AA66" s="151"/>
      <c r="AB66" s="151"/>
      <c r="AC66" s="151"/>
      <c r="AD66" s="151"/>
      <c r="AE66" s="151"/>
      <c r="AF66" s="151"/>
      <c r="AG66" s="151"/>
      <c r="AH66" s="151"/>
      <c r="AI66" s="151"/>
      <c r="AJ66" s="151"/>
      <c r="AK66" s="151"/>
      <c r="AL66" s="151"/>
      <c r="AM66" s="151"/>
    </row>
    <row r="67" spans="1:39" x14ac:dyDescent="0.2">
      <c r="A67" s="21"/>
      <c r="B67" s="21"/>
      <c r="C67" s="21"/>
      <c r="D67" s="21"/>
      <c r="E67" s="21"/>
      <c r="F67" s="21"/>
      <c r="G67" s="21"/>
      <c r="H67" s="21"/>
      <c r="I67" s="134"/>
      <c r="J67" s="135"/>
      <c r="K67" s="134"/>
      <c r="L67" s="135"/>
      <c r="M67" s="135"/>
      <c r="N67" s="135"/>
      <c r="O67" s="135"/>
      <c r="Q67" s="135"/>
      <c r="R67" s="135"/>
      <c r="S67" s="48"/>
      <c r="T67" s="135"/>
      <c r="U67" s="151"/>
      <c r="V67" s="135"/>
      <c r="W67" s="151"/>
      <c r="X67" s="151"/>
      <c r="Y67" s="151"/>
      <c r="Z67" s="249"/>
      <c r="AA67" s="151"/>
      <c r="AB67" s="151"/>
      <c r="AC67" s="151"/>
      <c r="AD67" s="151"/>
      <c r="AE67" s="151"/>
      <c r="AF67" s="151"/>
      <c r="AG67" s="151"/>
      <c r="AH67" s="151"/>
      <c r="AI67" s="151"/>
      <c r="AJ67" s="151"/>
      <c r="AK67" s="151"/>
      <c r="AL67" s="151"/>
      <c r="AM67" s="151"/>
    </row>
    <row r="68" spans="1:39" x14ac:dyDescent="0.2">
      <c r="A68" s="21"/>
      <c r="B68" s="21"/>
      <c r="C68" s="21"/>
      <c r="D68" s="21"/>
      <c r="E68" s="21"/>
      <c r="F68" s="21"/>
      <c r="G68" s="21"/>
      <c r="H68" s="21"/>
      <c r="I68" s="134"/>
      <c r="J68" s="135"/>
      <c r="K68" s="134"/>
      <c r="L68" s="135"/>
      <c r="M68" s="135"/>
      <c r="N68" s="135"/>
      <c r="O68" s="135"/>
      <c r="Q68" s="135"/>
      <c r="R68" s="135"/>
      <c r="S68" s="48"/>
      <c r="T68" s="135"/>
      <c r="U68" s="151"/>
      <c r="V68" s="135"/>
      <c r="W68" s="151"/>
      <c r="X68" s="151"/>
      <c r="Y68" s="151"/>
      <c r="Z68" s="249"/>
      <c r="AA68" s="151"/>
      <c r="AB68" s="151"/>
      <c r="AC68" s="151"/>
      <c r="AD68" s="151"/>
      <c r="AE68" s="151"/>
      <c r="AF68" s="151"/>
      <c r="AG68" s="151"/>
      <c r="AH68" s="151"/>
      <c r="AI68" s="151"/>
      <c r="AJ68" s="151"/>
      <c r="AK68" s="151"/>
      <c r="AL68" s="151"/>
      <c r="AM68" s="151"/>
    </row>
    <row r="69" spans="1:39" x14ac:dyDescent="0.2">
      <c r="A69" s="21"/>
      <c r="B69" s="21"/>
      <c r="C69" s="21"/>
      <c r="D69" s="21"/>
      <c r="E69" s="21"/>
      <c r="F69" s="21"/>
      <c r="G69" s="21"/>
      <c r="H69" s="21"/>
      <c r="I69" s="134"/>
      <c r="J69" s="135"/>
      <c r="K69" s="134"/>
      <c r="L69" s="135"/>
      <c r="M69" s="135"/>
      <c r="N69" s="135"/>
      <c r="O69" s="135"/>
      <c r="Q69" s="135"/>
      <c r="R69" s="135"/>
      <c r="S69" s="48"/>
      <c r="T69" s="135"/>
      <c r="U69" s="151"/>
      <c r="V69" s="135"/>
      <c r="W69" s="151"/>
      <c r="X69" s="151"/>
      <c r="Y69" s="151"/>
      <c r="Z69" s="249"/>
      <c r="AA69" s="151"/>
      <c r="AB69" s="151"/>
      <c r="AC69" s="151"/>
      <c r="AD69" s="151"/>
      <c r="AE69" s="151"/>
      <c r="AF69" s="151"/>
      <c r="AG69" s="151"/>
      <c r="AH69" s="151"/>
      <c r="AI69" s="151"/>
      <c r="AJ69" s="151"/>
      <c r="AK69" s="151"/>
      <c r="AL69" s="151"/>
      <c r="AM69" s="151"/>
    </row>
    <row r="70" spans="1:39" x14ac:dyDescent="0.2">
      <c r="A70" s="21"/>
      <c r="B70" s="21"/>
      <c r="C70" s="21"/>
      <c r="D70" s="21"/>
      <c r="E70" s="21"/>
      <c r="F70" s="21"/>
      <c r="G70" s="21"/>
      <c r="H70" s="21"/>
      <c r="I70" s="134"/>
      <c r="J70" s="135"/>
      <c r="K70" s="134"/>
      <c r="L70" s="135"/>
      <c r="M70" s="135"/>
      <c r="N70" s="135"/>
      <c r="O70" s="135"/>
      <c r="Q70" s="135"/>
      <c r="R70" s="135"/>
      <c r="S70" s="48"/>
      <c r="T70" s="135"/>
      <c r="U70" s="151"/>
      <c r="V70" s="135"/>
      <c r="W70" s="151"/>
      <c r="X70" s="151"/>
      <c r="Y70" s="151"/>
      <c r="Z70" s="249"/>
      <c r="AA70" s="151"/>
      <c r="AB70" s="151"/>
      <c r="AC70" s="151"/>
      <c r="AD70" s="151"/>
      <c r="AE70" s="151"/>
      <c r="AF70" s="151"/>
      <c r="AG70" s="151"/>
      <c r="AH70" s="151"/>
      <c r="AI70" s="151"/>
      <c r="AJ70" s="151"/>
      <c r="AK70" s="151"/>
      <c r="AL70" s="151"/>
      <c r="AM70" s="151"/>
    </row>
    <row r="71" spans="1:39" x14ac:dyDescent="0.2">
      <c r="A71" s="21"/>
      <c r="B71" s="21"/>
      <c r="C71" s="21"/>
      <c r="D71" s="21"/>
      <c r="E71" s="21"/>
      <c r="F71" s="21"/>
      <c r="G71" s="21"/>
      <c r="H71" s="21"/>
      <c r="I71" s="134"/>
      <c r="J71" s="135"/>
      <c r="K71" s="134"/>
      <c r="L71" s="135"/>
      <c r="M71" s="135"/>
      <c r="N71" s="135"/>
      <c r="O71" s="135"/>
      <c r="Q71" s="135"/>
      <c r="R71" s="135"/>
      <c r="S71" s="48"/>
      <c r="T71" s="135"/>
      <c r="U71" s="151"/>
      <c r="V71" s="135"/>
      <c r="W71" s="151"/>
      <c r="X71" s="151"/>
      <c r="Y71" s="151"/>
      <c r="Z71" s="249"/>
      <c r="AA71" s="151"/>
      <c r="AB71" s="151"/>
      <c r="AC71" s="151"/>
      <c r="AD71" s="151"/>
      <c r="AE71" s="151"/>
      <c r="AF71" s="151"/>
      <c r="AG71" s="151"/>
      <c r="AH71" s="151"/>
      <c r="AI71" s="151"/>
      <c r="AJ71" s="151"/>
      <c r="AK71" s="151"/>
      <c r="AL71" s="151"/>
      <c r="AM71" s="151"/>
    </row>
    <row r="72" spans="1:39" x14ac:dyDescent="0.2">
      <c r="A72" s="21"/>
      <c r="B72" s="21"/>
      <c r="C72" s="21"/>
      <c r="D72" s="21"/>
      <c r="E72" s="21"/>
      <c r="F72" s="21"/>
      <c r="G72" s="21"/>
      <c r="H72" s="21"/>
      <c r="I72" s="134"/>
      <c r="J72" s="135"/>
      <c r="K72" s="134"/>
      <c r="L72" s="135"/>
      <c r="M72" s="135"/>
      <c r="N72" s="135"/>
      <c r="O72" s="135"/>
      <c r="Q72" s="135"/>
      <c r="R72" s="135"/>
      <c r="S72" s="48"/>
      <c r="T72" s="135"/>
      <c r="U72" s="151"/>
      <c r="V72" s="135"/>
      <c r="W72" s="151"/>
      <c r="X72" s="151"/>
      <c r="Y72" s="151"/>
      <c r="Z72" s="249"/>
      <c r="AA72" s="151"/>
      <c r="AB72" s="151"/>
      <c r="AC72" s="151"/>
      <c r="AD72" s="151"/>
      <c r="AE72" s="151"/>
      <c r="AF72" s="151"/>
      <c r="AG72" s="151"/>
      <c r="AH72" s="151"/>
      <c r="AI72" s="151"/>
      <c r="AJ72" s="151"/>
      <c r="AK72" s="151"/>
      <c r="AL72" s="151"/>
      <c r="AM72" s="151"/>
    </row>
    <row r="73" spans="1:39" x14ac:dyDescent="0.2">
      <c r="A73" s="21"/>
      <c r="B73" s="21"/>
      <c r="C73" s="21"/>
      <c r="D73" s="21"/>
      <c r="E73" s="21"/>
      <c r="F73" s="21"/>
      <c r="G73" s="21"/>
      <c r="H73" s="21"/>
      <c r="I73" s="134"/>
      <c r="J73" s="135"/>
      <c r="K73" s="134"/>
      <c r="L73" s="135"/>
      <c r="M73" s="135"/>
      <c r="N73" s="135"/>
      <c r="O73" s="135"/>
      <c r="Q73" s="135"/>
      <c r="R73" s="135"/>
      <c r="S73" s="48"/>
      <c r="T73" s="135"/>
      <c r="U73" s="151"/>
      <c r="V73" s="135"/>
      <c r="W73" s="151"/>
      <c r="X73" s="151"/>
      <c r="Y73" s="151"/>
      <c r="Z73" s="249"/>
      <c r="AA73" s="151"/>
      <c r="AB73" s="151"/>
      <c r="AC73" s="151"/>
      <c r="AD73" s="151"/>
      <c r="AE73" s="151"/>
      <c r="AF73" s="151"/>
      <c r="AG73" s="151"/>
      <c r="AH73" s="151"/>
      <c r="AI73" s="151"/>
      <c r="AJ73" s="151"/>
      <c r="AK73" s="151"/>
      <c r="AL73" s="151"/>
      <c r="AM73" s="151"/>
    </row>
    <row r="74" spans="1:39" x14ac:dyDescent="0.2">
      <c r="A74" s="21"/>
      <c r="B74" s="21"/>
      <c r="C74" s="21"/>
      <c r="D74" s="21"/>
      <c r="E74" s="21"/>
      <c r="F74" s="21"/>
      <c r="G74" s="21"/>
      <c r="H74" s="21"/>
      <c r="I74" s="134"/>
      <c r="J74" s="135"/>
      <c r="K74" s="134"/>
      <c r="L74" s="135"/>
      <c r="M74" s="135"/>
      <c r="N74" s="135"/>
      <c r="O74" s="135"/>
      <c r="Q74" s="135"/>
      <c r="R74" s="135"/>
      <c r="S74" s="48"/>
      <c r="T74" s="135"/>
      <c r="U74" s="151"/>
      <c r="V74" s="135"/>
      <c r="W74" s="151"/>
      <c r="X74" s="151"/>
      <c r="Y74" s="151"/>
      <c r="Z74" s="249"/>
      <c r="AA74" s="151"/>
      <c r="AB74" s="151"/>
      <c r="AC74" s="151"/>
      <c r="AD74" s="151"/>
      <c r="AE74" s="151"/>
      <c r="AF74" s="151"/>
      <c r="AG74" s="151"/>
      <c r="AH74" s="151"/>
      <c r="AI74" s="151"/>
      <c r="AJ74" s="151"/>
      <c r="AK74" s="151"/>
      <c r="AL74" s="151"/>
      <c r="AM74" s="151"/>
    </row>
    <row r="75" spans="1:39" x14ac:dyDescent="0.2">
      <c r="A75" s="21"/>
      <c r="B75" s="21"/>
      <c r="C75" s="21"/>
      <c r="D75" s="21"/>
      <c r="E75" s="21"/>
      <c r="F75" s="21"/>
      <c r="G75" s="21"/>
      <c r="H75" s="21"/>
      <c r="I75" s="134"/>
      <c r="J75" s="135"/>
      <c r="K75" s="134"/>
      <c r="L75" s="135"/>
      <c r="M75" s="135"/>
      <c r="N75" s="135"/>
      <c r="O75" s="135"/>
      <c r="Q75" s="135"/>
      <c r="R75" s="135"/>
      <c r="S75" s="48"/>
      <c r="T75" s="135"/>
      <c r="U75" s="151"/>
      <c r="V75" s="135"/>
      <c r="W75" s="151"/>
      <c r="X75" s="151"/>
      <c r="Y75" s="151"/>
      <c r="Z75" s="249"/>
      <c r="AA75" s="151"/>
      <c r="AB75" s="151"/>
      <c r="AC75" s="151"/>
      <c r="AD75" s="151"/>
      <c r="AE75" s="151"/>
      <c r="AF75" s="151"/>
      <c r="AG75" s="151"/>
      <c r="AH75" s="151"/>
      <c r="AI75" s="151"/>
      <c r="AJ75" s="151"/>
      <c r="AK75" s="151"/>
      <c r="AL75" s="151"/>
      <c r="AM75" s="151"/>
    </row>
    <row r="76" spans="1:39" x14ac:dyDescent="0.2">
      <c r="A76" s="21"/>
      <c r="B76" s="21"/>
      <c r="C76" s="21"/>
      <c r="D76" s="21"/>
      <c r="E76" s="21"/>
      <c r="F76" s="21"/>
      <c r="G76" s="21"/>
      <c r="H76" s="21"/>
      <c r="I76" s="134"/>
      <c r="J76" s="135"/>
      <c r="K76" s="134"/>
      <c r="L76" s="135"/>
      <c r="M76" s="135"/>
      <c r="N76" s="135"/>
      <c r="O76" s="135"/>
      <c r="Q76" s="135"/>
      <c r="R76" s="135"/>
      <c r="S76" s="48"/>
      <c r="T76" s="135"/>
      <c r="U76" s="151"/>
      <c r="V76" s="135"/>
      <c r="W76" s="151"/>
      <c r="X76" s="151"/>
      <c r="Y76" s="151"/>
      <c r="Z76" s="249"/>
      <c r="AA76" s="151"/>
      <c r="AB76" s="151"/>
      <c r="AC76" s="151"/>
      <c r="AD76" s="151"/>
      <c r="AE76" s="151"/>
      <c r="AF76" s="151"/>
      <c r="AG76" s="151"/>
      <c r="AH76" s="151"/>
      <c r="AI76" s="151"/>
      <c r="AJ76" s="151"/>
      <c r="AK76" s="151"/>
      <c r="AL76" s="151"/>
      <c r="AM76" s="151"/>
    </row>
    <row r="77" spans="1:39" x14ac:dyDescent="0.2">
      <c r="A77" s="21"/>
      <c r="B77" s="21"/>
      <c r="C77" s="21"/>
      <c r="D77" s="21"/>
      <c r="E77" s="21"/>
      <c r="F77" s="21"/>
      <c r="G77" s="21"/>
      <c r="H77" s="21"/>
      <c r="I77" s="134"/>
      <c r="J77" s="135"/>
      <c r="K77" s="134"/>
      <c r="L77" s="135"/>
      <c r="M77" s="135"/>
      <c r="N77" s="135"/>
      <c r="O77" s="135"/>
      <c r="Q77" s="135"/>
      <c r="R77" s="135"/>
      <c r="S77" s="48"/>
      <c r="T77" s="135"/>
      <c r="U77" s="151"/>
      <c r="V77" s="135"/>
      <c r="W77" s="151"/>
      <c r="X77" s="151"/>
      <c r="Y77" s="151"/>
      <c r="Z77" s="249"/>
      <c r="AA77" s="151"/>
      <c r="AB77" s="151"/>
      <c r="AC77" s="151"/>
      <c r="AD77" s="151"/>
      <c r="AE77" s="151"/>
      <c r="AF77" s="151"/>
      <c r="AG77" s="151"/>
      <c r="AH77" s="151"/>
      <c r="AI77" s="151"/>
      <c r="AJ77" s="151"/>
      <c r="AK77" s="151"/>
      <c r="AL77" s="151"/>
      <c r="AM77" s="151"/>
    </row>
    <row r="78" spans="1:39" x14ac:dyDescent="0.2">
      <c r="A78" s="21"/>
      <c r="B78" s="21"/>
      <c r="C78" s="21"/>
      <c r="D78" s="21"/>
      <c r="E78" s="21"/>
      <c r="F78" s="21"/>
      <c r="G78" s="21"/>
      <c r="H78" s="21"/>
      <c r="I78" s="134"/>
      <c r="J78" s="135"/>
      <c r="K78" s="134"/>
      <c r="L78" s="135"/>
      <c r="M78" s="135"/>
      <c r="N78" s="135"/>
      <c r="O78" s="135"/>
      <c r="Q78" s="135"/>
      <c r="R78" s="135"/>
      <c r="S78" s="48"/>
      <c r="T78" s="135"/>
      <c r="U78" s="151"/>
      <c r="V78" s="135"/>
      <c r="W78" s="151"/>
      <c r="X78" s="151"/>
      <c r="Y78" s="151"/>
      <c r="Z78" s="249"/>
      <c r="AA78" s="151"/>
      <c r="AB78" s="151"/>
      <c r="AC78" s="151"/>
      <c r="AD78" s="151"/>
      <c r="AE78" s="151"/>
      <c r="AF78" s="151"/>
      <c r="AG78" s="151"/>
      <c r="AH78" s="151"/>
      <c r="AI78" s="151"/>
      <c r="AJ78" s="151"/>
      <c r="AK78" s="151"/>
      <c r="AL78" s="151"/>
      <c r="AM78" s="151"/>
    </row>
    <row r="79" spans="1:39" x14ac:dyDescent="0.2">
      <c r="A79" s="21"/>
      <c r="B79" s="21"/>
      <c r="C79" s="21"/>
      <c r="D79" s="21"/>
      <c r="E79" s="21"/>
      <c r="F79" s="21"/>
      <c r="G79" s="21"/>
      <c r="H79" s="21"/>
      <c r="I79" s="134"/>
      <c r="J79" s="135"/>
      <c r="K79" s="134"/>
      <c r="L79" s="135"/>
      <c r="M79" s="135"/>
      <c r="N79" s="135"/>
      <c r="O79" s="135"/>
      <c r="Q79" s="135"/>
      <c r="R79" s="135"/>
      <c r="S79" s="48"/>
      <c r="T79" s="135"/>
      <c r="U79" s="151"/>
      <c r="V79" s="135"/>
      <c r="W79" s="151"/>
      <c r="X79" s="151"/>
      <c r="Y79" s="151"/>
      <c r="Z79" s="249"/>
      <c r="AA79" s="151"/>
      <c r="AB79" s="151"/>
      <c r="AC79" s="151"/>
      <c r="AD79" s="151"/>
      <c r="AE79" s="151"/>
      <c r="AF79" s="151"/>
      <c r="AG79" s="151"/>
      <c r="AH79" s="151"/>
      <c r="AI79" s="151"/>
      <c r="AJ79" s="151"/>
      <c r="AK79" s="151"/>
      <c r="AL79" s="151"/>
      <c r="AM79" s="151"/>
    </row>
    <row r="80" spans="1:39" x14ac:dyDescent="0.2">
      <c r="A80" s="21"/>
      <c r="B80" s="21"/>
      <c r="C80" s="21"/>
      <c r="D80" s="21"/>
      <c r="E80" s="21"/>
      <c r="F80" s="21"/>
      <c r="G80" s="21"/>
      <c r="H80" s="21"/>
      <c r="I80" s="134"/>
      <c r="J80" s="135"/>
      <c r="K80" s="134"/>
      <c r="L80" s="135"/>
      <c r="M80" s="135"/>
      <c r="N80" s="135"/>
      <c r="O80" s="135"/>
      <c r="Q80" s="135"/>
      <c r="R80" s="135"/>
      <c r="S80" s="48"/>
      <c r="T80" s="135"/>
      <c r="U80" s="151"/>
      <c r="V80" s="135"/>
      <c r="W80" s="151"/>
      <c r="X80" s="151"/>
      <c r="Y80" s="151"/>
      <c r="Z80" s="249"/>
      <c r="AA80" s="151"/>
      <c r="AB80" s="151"/>
      <c r="AC80" s="151"/>
      <c r="AD80" s="151"/>
      <c r="AE80" s="151"/>
      <c r="AF80" s="151"/>
      <c r="AG80" s="151"/>
      <c r="AH80" s="151"/>
      <c r="AI80" s="151"/>
      <c r="AJ80" s="151"/>
      <c r="AK80" s="151"/>
      <c r="AL80" s="151"/>
      <c r="AM80" s="151"/>
    </row>
    <row r="81" spans="1:39" x14ac:dyDescent="0.2">
      <c r="A81" s="21"/>
      <c r="B81" s="21"/>
      <c r="C81" s="21"/>
      <c r="D81" s="21"/>
      <c r="E81" s="21"/>
      <c r="F81" s="21"/>
      <c r="G81" s="21"/>
      <c r="H81" s="21"/>
      <c r="I81" s="134"/>
      <c r="J81" s="135"/>
      <c r="K81" s="134"/>
      <c r="L81" s="135"/>
      <c r="M81" s="135"/>
      <c r="N81" s="135"/>
      <c r="O81" s="135"/>
      <c r="Q81" s="135"/>
      <c r="R81" s="135"/>
      <c r="S81" s="48"/>
      <c r="T81" s="135"/>
      <c r="U81" s="151"/>
      <c r="V81" s="135"/>
      <c r="W81" s="151"/>
      <c r="X81" s="151"/>
      <c r="Y81" s="151"/>
      <c r="Z81" s="249"/>
      <c r="AA81" s="151"/>
      <c r="AB81" s="151"/>
      <c r="AC81" s="151"/>
      <c r="AD81" s="151"/>
      <c r="AE81" s="151"/>
      <c r="AF81" s="151"/>
      <c r="AG81" s="151"/>
      <c r="AH81" s="151"/>
      <c r="AI81" s="151"/>
      <c r="AJ81" s="151"/>
      <c r="AK81" s="151"/>
      <c r="AL81" s="151"/>
      <c r="AM81" s="151"/>
    </row>
    <row r="82" spans="1:39" x14ac:dyDescent="0.2">
      <c r="A82" s="21"/>
      <c r="B82" s="21"/>
      <c r="C82" s="21"/>
      <c r="D82" s="21"/>
      <c r="E82" s="21"/>
      <c r="F82" s="21"/>
      <c r="G82" s="21"/>
      <c r="H82" s="21"/>
      <c r="I82" s="134"/>
      <c r="J82" s="135"/>
      <c r="K82" s="134"/>
      <c r="L82" s="135"/>
      <c r="M82" s="135"/>
      <c r="N82" s="135"/>
      <c r="O82" s="135"/>
      <c r="Q82" s="135"/>
      <c r="R82" s="135"/>
      <c r="S82" s="48"/>
      <c r="T82" s="135"/>
      <c r="U82" s="151"/>
      <c r="V82" s="135"/>
      <c r="W82" s="151"/>
      <c r="X82" s="151"/>
      <c r="Y82" s="151"/>
      <c r="Z82" s="249"/>
      <c r="AA82" s="151"/>
      <c r="AB82" s="151"/>
      <c r="AC82" s="151"/>
      <c r="AD82" s="151"/>
      <c r="AE82" s="151"/>
      <c r="AF82" s="151"/>
      <c r="AG82" s="151"/>
      <c r="AH82" s="151"/>
      <c r="AI82" s="151"/>
      <c r="AJ82" s="151"/>
      <c r="AK82" s="151"/>
      <c r="AL82" s="151"/>
      <c r="AM82" s="151"/>
    </row>
    <row r="83" spans="1:39" x14ac:dyDescent="0.2">
      <c r="A83" s="21"/>
      <c r="B83" s="21"/>
      <c r="C83" s="21"/>
      <c r="D83" s="21"/>
      <c r="E83" s="21"/>
      <c r="F83" s="21"/>
      <c r="G83" s="21"/>
      <c r="H83" s="21"/>
      <c r="I83" s="134"/>
      <c r="J83" s="135"/>
      <c r="K83" s="134"/>
      <c r="L83" s="135"/>
      <c r="M83" s="135"/>
      <c r="N83" s="135"/>
      <c r="O83" s="135"/>
      <c r="Q83" s="135"/>
      <c r="R83" s="135"/>
      <c r="S83" s="48"/>
      <c r="T83" s="135"/>
      <c r="U83" s="151"/>
      <c r="V83" s="135"/>
      <c r="W83" s="151"/>
      <c r="X83" s="151"/>
      <c r="Y83" s="151"/>
      <c r="Z83" s="249"/>
      <c r="AA83" s="151"/>
      <c r="AB83" s="151"/>
      <c r="AC83" s="151"/>
      <c r="AD83" s="151"/>
      <c r="AE83" s="151"/>
      <c r="AF83" s="151"/>
      <c r="AG83" s="151"/>
      <c r="AH83" s="151"/>
      <c r="AI83" s="151"/>
      <c r="AJ83" s="151"/>
      <c r="AK83" s="151"/>
      <c r="AL83" s="151"/>
      <c r="AM83" s="151"/>
    </row>
    <row r="84" spans="1:39" x14ac:dyDescent="0.2">
      <c r="A84" s="21"/>
      <c r="B84" s="21"/>
      <c r="C84" s="21"/>
      <c r="D84" s="21"/>
      <c r="E84" s="21"/>
      <c r="F84" s="21"/>
      <c r="G84" s="21"/>
      <c r="H84" s="21"/>
      <c r="I84" s="134"/>
      <c r="J84" s="135"/>
      <c r="K84" s="134"/>
      <c r="L84" s="135"/>
      <c r="M84" s="135"/>
      <c r="N84" s="135"/>
      <c r="O84" s="135"/>
      <c r="Q84" s="135"/>
      <c r="R84" s="135"/>
      <c r="S84" s="48"/>
      <c r="T84" s="135"/>
      <c r="U84" s="151"/>
      <c r="V84" s="135"/>
      <c r="W84" s="151"/>
      <c r="X84" s="151"/>
      <c r="Y84" s="151"/>
      <c r="Z84" s="249"/>
      <c r="AA84" s="151"/>
      <c r="AB84" s="151"/>
      <c r="AC84" s="151"/>
      <c r="AD84" s="151"/>
      <c r="AE84" s="151"/>
      <c r="AF84" s="151"/>
      <c r="AG84" s="151"/>
      <c r="AH84" s="151"/>
      <c r="AI84" s="151"/>
      <c r="AJ84" s="151"/>
      <c r="AK84" s="151"/>
      <c r="AL84" s="151"/>
      <c r="AM84" s="151"/>
    </row>
    <row r="85" spans="1:39" x14ac:dyDescent="0.2">
      <c r="A85" s="21"/>
      <c r="B85" s="21"/>
      <c r="C85" s="21"/>
      <c r="D85" s="21"/>
      <c r="E85" s="21"/>
      <c r="F85" s="21"/>
      <c r="G85" s="21"/>
      <c r="H85" s="21"/>
      <c r="I85" s="134"/>
      <c r="J85" s="135"/>
      <c r="K85" s="134"/>
      <c r="L85" s="135"/>
      <c r="M85" s="135"/>
      <c r="N85" s="135"/>
      <c r="O85" s="135"/>
      <c r="Q85" s="135"/>
      <c r="R85" s="135"/>
      <c r="S85" s="48"/>
      <c r="T85" s="135"/>
      <c r="U85" s="151"/>
      <c r="V85" s="135"/>
      <c r="W85" s="151"/>
      <c r="X85" s="151"/>
      <c r="Y85" s="151"/>
      <c r="Z85" s="249"/>
      <c r="AA85" s="151"/>
      <c r="AB85" s="151"/>
      <c r="AC85" s="151"/>
      <c r="AD85" s="151"/>
      <c r="AE85" s="151"/>
      <c r="AF85" s="151"/>
      <c r="AG85" s="151"/>
      <c r="AH85" s="151"/>
      <c r="AI85" s="151"/>
      <c r="AJ85" s="151"/>
      <c r="AK85" s="151"/>
      <c r="AL85" s="151"/>
      <c r="AM85" s="151"/>
    </row>
    <row r="86" spans="1:39" x14ac:dyDescent="0.2">
      <c r="A86" s="21"/>
      <c r="B86" s="21"/>
      <c r="C86" s="21"/>
      <c r="D86" s="21"/>
      <c r="E86" s="21"/>
      <c r="F86" s="21"/>
      <c r="G86" s="21"/>
      <c r="H86" s="21"/>
      <c r="I86" s="134"/>
      <c r="J86" s="135"/>
      <c r="K86" s="134"/>
      <c r="L86" s="135"/>
      <c r="M86" s="135"/>
      <c r="N86" s="135"/>
      <c r="O86" s="135"/>
      <c r="Q86" s="135"/>
      <c r="R86" s="135"/>
      <c r="S86" s="48"/>
      <c r="T86" s="135"/>
      <c r="U86" s="151"/>
      <c r="V86" s="135"/>
      <c r="W86" s="151"/>
      <c r="X86" s="151"/>
      <c r="Y86" s="151"/>
      <c r="Z86" s="249"/>
      <c r="AA86" s="151"/>
      <c r="AB86" s="151"/>
      <c r="AC86" s="151"/>
      <c r="AD86" s="151"/>
      <c r="AE86" s="151"/>
      <c r="AF86" s="151"/>
      <c r="AG86" s="151"/>
      <c r="AH86" s="151"/>
      <c r="AI86" s="151"/>
      <c r="AJ86" s="151"/>
      <c r="AK86" s="151"/>
      <c r="AL86" s="151"/>
      <c r="AM86" s="151"/>
    </row>
    <row r="87" spans="1:39" x14ac:dyDescent="0.2">
      <c r="A87" s="21"/>
      <c r="B87" s="21"/>
      <c r="C87" s="21"/>
      <c r="D87" s="21"/>
      <c r="E87" s="21"/>
      <c r="F87" s="21"/>
      <c r="G87" s="21"/>
      <c r="H87" s="21"/>
      <c r="I87" s="134"/>
      <c r="J87" s="135"/>
      <c r="K87" s="134"/>
      <c r="L87" s="135"/>
      <c r="M87" s="135"/>
      <c r="N87" s="135"/>
      <c r="O87" s="135"/>
      <c r="Q87" s="135"/>
      <c r="R87" s="135"/>
      <c r="S87" s="48"/>
      <c r="T87" s="135"/>
      <c r="U87" s="151"/>
      <c r="V87" s="135"/>
      <c r="W87" s="151"/>
      <c r="X87" s="151"/>
      <c r="Y87" s="151"/>
      <c r="Z87" s="249"/>
      <c r="AA87" s="151"/>
      <c r="AB87" s="151"/>
      <c r="AC87" s="151"/>
      <c r="AD87" s="151"/>
      <c r="AE87" s="151"/>
      <c r="AF87" s="151"/>
      <c r="AG87" s="151"/>
      <c r="AH87" s="151"/>
      <c r="AI87" s="151"/>
      <c r="AJ87" s="151"/>
      <c r="AK87" s="151"/>
      <c r="AL87" s="151"/>
      <c r="AM87" s="151"/>
    </row>
    <row r="88" spans="1:39" x14ac:dyDescent="0.2">
      <c r="A88" s="21"/>
      <c r="B88" s="21"/>
      <c r="C88" s="21"/>
      <c r="D88" s="21"/>
      <c r="E88" s="21"/>
      <c r="F88" s="21"/>
      <c r="G88" s="21"/>
      <c r="H88" s="21"/>
      <c r="I88" s="134"/>
      <c r="J88" s="135"/>
      <c r="K88" s="134"/>
      <c r="L88" s="135"/>
      <c r="M88" s="135"/>
      <c r="N88" s="135"/>
      <c r="O88" s="135"/>
      <c r="Q88" s="135"/>
      <c r="R88" s="135"/>
      <c r="S88" s="48"/>
      <c r="T88" s="135"/>
      <c r="U88" s="151"/>
      <c r="V88" s="135"/>
      <c r="W88" s="151"/>
      <c r="X88" s="151"/>
      <c r="Y88" s="151"/>
      <c r="Z88" s="249"/>
      <c r="AA88" s="151"/>
      <c r="AB88" s="151"/>
      <c r="AC88" s="151"/>
      <c r="AD88" s="151"/>
      <c r="AE88" s="151"/>
      <c r="AF88" s="151"/>
      <c r="AG88" s="151"/>
      <c r="AH88" s="151"/>
      <c r="AI88" s="151"/>
      <c r="AJ88" s="151"/>
      <c r="AK88" s="151"/>
      <c r="AL88" s="151"/>
      <c r="AM88" s="151"/>
    </row>
    <row r="89" spans="1:39" x14ac:dyDescent="0.2">
      <c r="A89" s="21"/>
      <c r="B89" s="21"/>
      <c r="C89" s="21"/>
      <c r="D89" s="21"/>
      <c r="E89" s="21"/>
      <c r="F89" s="21"/>
      <c r="G89" s="21"/>
      <c r="H89" s="21"/>
      <c r="I89" s="134"/>
      <c r="J89" s="135"/>
      <c r="K89" s="134"/>
      <c r="L89" s="135"/>
      <c r="M89" s="135"/>
      <c r="N89" s="135"/>
      <c r="O89" s="135"/>
      <c r="Q89" s="135"/>
      <c r="R89" s="135"/>
      <c r="S89" s="48"/>
      <c r="T89" s="135"/>
      <c r="U89" s="151"/>
      <c r="V89" s="135"/>
      <c r="W89" s="151"/>
      <c r="X89" s="151"/>
      <c r="Y89" s="151"/>
      <c r="Z89" s="249"/>
      <c r="AA89" s="151"/>
      <c r="AB89" s="151"/>
      <c r="AC89" s="151"/>
      <c r="AD89" s="151"/>
      <c r="AE89" s="151"/>
      <c r="AF89" s="151"/>
      <c r="AG89" s="151"/>
      <c r="AH89" s="151"/>
      <c r="AI89" s="151"/>
      <c r="AJ89" s="151"/>
      <c r="AK89" s="151"/>
      <c r="AL89" s="151"/>
      <c r="AM89" s="151"/>
    </row>
    <row r="90" spans="1:39" x14ac:dyDescent="0.2">
      <c r="A90" s="21"/>
      <c r="B90" s="21"/>
      <c r="C90" s="21"/>
      <c r="D90" s="21"/>
      <c r="E90" s="21"/>
      <c r="F90" s="21"/>
      <c r="G90" s="21"/>
      <c r="H90" s="21"/>
      <c r="I90" s="134"/>
      <c r="J90" s="135"/>
      <c r="K90" s="134"/>
      <c r="L90" s="135"/>
      <c r="M90" s="135"/>
      <c r="N90" s="135"/>
      <c r="O90" s="135"/>
      <c r="Q90" s="135"/>
      <c r="R90" s="135"/>
      <c r="S90" s="48"/>
      <c r="T90" s="135"/>
      <c r="U90" s="151"/>
      <c r="V90" s="135"/>
      <c r="W90" s="151"/>
      <c r="X90" s="151"/>
      <c r="Y90" s="151"/>
      <c r="Z90" s="249"/>
      <c r="AA90" s="151"/>
      <c r="AB90" s="151"/>
      <c r="AC90" s="151"/>
      <c r="AD90" s="151"/>
      <c r="AE90" s="151"/>
      <c r="AF90" s="151"/>
      <c r="AG90" s="151"/>
      <c r="AH90" s="151"/>
      <c r="AI90" s="151"/>
      <c r="AJ90" s="151"/>
      <c r="AK90" s="151"/>
      <c r="AL90" s="151"/>
      <c r="AM90" s="151"/>
    </row>
    <row r="91" spans="1:39" x14ac:dyDescent="0.2">
      <c r="A91" s="21"/>
      <c r="B91" s="21"/>
      <c r="C91" s="21"/>
      <c r="D91" s="21"/>
      <c r="E91" s="21"/>
      <c r="F91" s="21"/>
      <c r="G91" s="21"/>
      <c r="H91" s="21"/>
      <c r="I91" s="134"/>
      <c r="J91" s="135"/>
      <c r="K91" s="134"/>
      <c r="L91" s="135"/>
      <c r="M91" s="135"/>
      <c r="N91" s="135"/>
      <c r="O91" s="135"/>
      <c r="Q91" s="135"/>
      <c r="R91" s="135"/>
      <c r="S91" s="48"/>
      <c r="T91" s="135"/>
      <c r="U91" s="151"/>
      <c r="V91" s="135"/>
      <c r="W91" s="151"/>
      <c r="X91" s="151"/>
      <c r="Y91" s="151"/>
      <c r="Z91" s="249"/>
      <c r="AA91" s="151"/>
      <c r="AB91" s="151"/>
      <c r="AC91" s="151"/>
      <c r="AD91" s="151"/>
      <c r="AE91" s="151"/>
      <c r="AF91" s="151"/>
      <c r="AG91" s="151"/>
      <c r="AH91" s="151"/>
      <c r="AI91" s="151"/>
      <c r="AJ91" s="151"/>
      <c r="AK91" s="151"/>
      <c r="AL91" s="151"/>
      <c r="AM91" s="151"/>
    </row>
    <row r="92" spans="1:39" x14ac:dyDescent="0.2">
      <c r="A92" s="21"/>
      <c r="B92" s="21"/>
      <c r="C92" s="21"/>
      <c r="D92" s="21"/>
      <c r="E92" s="21"/>
      <c r="F92" s="21"/>
      <c r="G92" s="21"/>
      <c r="H92" s="21"/>
      <c r="I92" s="134"/>
      <c r="J92" s="135"/>
      <c r="K92" s="134"/>
      <c r="L92" s="135"/>
      <c r="M92" s="135"/>
      <c r="N92" s="135"/>
      <c r="O92" s="135"/>
      <c r="Q92" s="135"/>
      <c r="R92" s="135"/>
      <c r="S92" s="48"/>
      <c r="T92" s="135"/>
      <c r="U92" s="151"/>
      <c r="V92" s="135"/>
      <c r="W92" s="151"/>
      <c r="X92" s="151"/>
      <c r="Y92" s="151"/>
      <c r="Z92" s="249"/>
      <c r="AA92" s="151"/>
      <c r="AB92" s="151"/>
      <c r="AC92" s="151"/>
      <c r="AD92" s="151"/>
      <c r="AE92" s="151"/>
      <c r="AF92" s="151"/>
      <c r="AG92" s="151"/>
      <c r="AH92" s="151"/>
      <c r="AI92" s="151"/>
      <c r="AJ92" s="151"/>
      <c r="AK92" s="151"/>
      <c r="AL92" s="151"/>
      <c r="AM92" s="151"/>
    </row>
    <row r="93" spans="1:39" x14ac:dyDescent="0.2">
      <c r="A93" s="21"/>
      <c r="B93" s="21"/>
      <c r="C93" s="21"/>
      <c r="D93" s="21"/>
      <c r="E93" s="21"/>
      <c r="F93" s="21"/>
      <c r="G93" s="21"/>
      <c r="H93" s="21"/>
      <c r="I93" s="134"/>
      <c r="J93" s="135"/>
      <c r="K93" s="134"/>
      <c r="L93" s="135"/>
      <c r="M93" s="135"/>
      <c r="N93" s="135"/>
      <c r="O93" s="135"/>
      <c r="Q93" s="135"/>
      <c r="R93" s="135"/>
      <c r="S93" s="48"/>
      <c r="T93" s="135"/>
      <c r="U93" s="151"/>
      <c r="V93" s="135"/>
      <c r="W93" s="151"/>
      <c r="X93" s="151"/>
      <c r="Y93" s="151"/>
      <c r="Z93" s="249"/>
      <c r="AA93" s="151"/>
      <c r="AB93" s="151"/>
      <c r="AC93" s="151"/>
      <c r="AD93" s="151"/>
      <c r="AE93" s="151"/>
      <c r="AF93" s="151"/>
      <c r="AG93" s="151"/>
      <c r="AH93" s="151"/>
      <c r="AI93" s="151"/>
      <c r="AJ93" s="151"/>
      <c r="AK93" s="151"/>
      <c r="AL93" s="151"/>
      <c r="AM93" s="151"/>
    </row>
    <row r="94" spans="1:39" x14ac:dyDescent="0.2">
      <c r="A94" s="21"/>
      <c r="B94" s="21"/>
      <c r="C94" s="21"/>
      <c r="D94" s="21"/>
      <c r="E94" s="21"/>
      <c r="F94" s="21"/>
      <c r="G94" s="21"/>
      <c r="H94" s="21"/>
      <c r="I94" s="134"/>
      <c r="J94" s="135"/>
      <c r="K94" s="134"/>
      <c r="L94" s="135"/>
      <c r="M94" s="135"/>
      <c r="N94" s="135"/>
      <c r="O94" s="135"/>
      <c r="Q94" s="135"/>
      <c r="R94" s="135"/>
      <c r="S94" s="48"/>
      <c r="T94" s="135"/>
      <c r="U94" s="151"/>
      <c r="V94" s="135"/>
      <c r="W94" s="151"/>
      <c r="X94" s="151"/>
      <c r="Y94" s="151"/>
      <c r="Z94" s="249"/>
      <c r="AA94" s="151"/>
      <c r="AB94" s="151"/>
      <c r="AC94" s="151"/>
      <c r="AD94" s="151"/>
      <c r="AE94" s="151"/>
      <c r="AF94" s="151"/>
      <c r="AG94" s="151"/>
      <c r="AH94" s="151"/>
      <c r="AI94" s="151"/>
      <c r="AJ94" s="151"/>
      <c r="AK94" s="151"/>
      <c r="AL94" s="151"/>
      <c r="AM94" s="151"/>
    </row>
    <row r="95" spans="1:39" x14ac:dyDescent="0.2">
      <c r="A95" s="21"/>
      <c r="B95" s="21"/>
      <c r="C95" s="21"/>
      <c r="D95" s="21"/>
      <c r="E95" s="21"/>
      <c r="F95" s="21"/>
      <c r="G95" s="21"/>
      <c r="H95" s="21"/>
      <c r="I95" s="134"/>
      <c r="J95" s="135"/>
      <c r="K95" s="134"/>
      <c r="L95" s="135"/>
      <c r="M95" s="135"/>
      <c r="N95" s="135"/>
      <c r="O95" s="135"/>
      <c r="Q95" s="135"/>
      <c r="R95" s="135"/>
      <c r="S95" s="48"/>
      <c r="T95" s="135"/>
      <c r="U95" s="151"/>
      <c r="V95" s="135"/>
      <c r="W95" s="151"/>
      <c r="X95" s="151"/>
      <c r="Y95" s="151"/>
      <c r="Z95" s="249"/>
      <c r="AA95" s="151"/>
      <c r="AB95" s="151"/>
      <c r="AC95" s="151"/>
      <c r="AD95" s="151"/>
      <c r="AE95" s="151"/>
      <c r="AF95" s="151"/>
      <c r="AG95" s="151"/>
      <c r="AH95" s="151"/>
      <c r="AI95" s="151"/>
      <c r="AJ95" s="151"/>
      <c r="AK95" s="151"/>
      <c r="AL95" s="151"/>
      <c r="AM95" s="151"/>
    </row>
    <row r="96" spans="1:39" x14ac:dyDescent="0.2">
      <c r="A96" s="21"/>
      <c r="B96" s="21"/>
      <c r="C96" s="21"/>
      <c r="D96" s="21"/>
      <c r="E96" s="21"/>
      <c r="F96" s="21"/>
      <c r="G96" s="21"/>
      <c r="H96" s="21"/>
      <c r="I96" s="134"/>
      <c r="J96" s="135"/>
      <c r="K96" s="134"/>
      <c r="L96" s="135"/>
      <c r="M96" s="135"/>
      <c r="N96" s="135"/>
      <c r="O96" s="135"/>
      <c r="Q96" s="135"/>
      <c r="R96" s="135"/>
      <c r="S96" s="48"/>
      <c r="T96" s="135"/>
      <c r="U96" s="151"/>
      <c r="V96" s="135"/>
      <c r="W96" s="151"/>
      <c r="X96" s="151"/>
      <c r="Y96" s="151"/>
      <c r="Z96" s="249"/>
      <c r="AA96" s="151"/>
      <c r="AB96" s="151"/>
      <c r="AC96" s="151"/>
      <c r="AD96" s="151"/>
      <c r="AE96" s="151"/>
      <c r="AF96" s="151"/>
      <c r="AG96" s="151"/>
      <c r="AH96" s="151"/>
      <c r="AI96" s="151"/>
      <c r="AJ96" s="151"/>
      <c r="AK96" s="151"/>
      <c r="AL96" s="151"/>
      <c r="AM96" s="151"/>
    </row>
    <row r="97" spans="1:39" x14ac:dyDescent="0.2">
      <c r="A97" s="21"/>
      <c r="B97" s="21"/>
      <c r="C97" s="21"/>
      <c r="D97" s="21"/>
      <c r="E97" s="21"/>
      <c r="F97" s="21"/>
      <c r="G97" s="21"/>
      <c r="H97" s="21"/>
      <c r="I97" s="134"/>
      <c r="J97" s="135"/>
      <c r="K97" s="134"/>
      <c r="L97" s="135"/>
      <c r="M97" s="135"/>
      <c r="N97" s="135"/>
      <c r="O97" s="135"/>
      <c r="Q97" s="135"/>
      <c r="R97" s="135"/>
      <c r="S97" s="48"/>
      <c r="T97" s="135"/>
      <c r="U97" s="151"/>
      <c r="V97" s="135"/>
      <c r="W97" s="151"/>
      <c r="X97" s="151"/>
      <c r="Y97" s="151"/>
      <c r="Z97" s="249"/>
      <c r="AA97" s="151"/>
      <c r="AB97" s="151"/>
      <c r="AC97" s="151"/>
      <c r="AD97" s="151"/>
      <c r="AE97" s="151"/>
      <c r="AF97" s="151"/>
      <c r="AG97" s="151"/>
      <c r="AH97" s="151"/>
      <c r="AI97" s="151"/>
      <c r="AJ97" s="151"/>
      <c r="AK97" s="151"/>
      <c r="AL97" s="151"/>
      <c r="AM97" s="151"/>
    </row>
    <row r="98" spans="1:39" x14ac:dyDescent="0.2">
      <c r="A98" s="21"/>
      <c r="B98" s="21"/>
      <c r="C98" s="21"/>
      <c r="D98" s="21"/>
      <c r="E98" s="21"/>
      <c r="F98" s="21"/>
      <c r="G98" s="21"/>
      <c r="H98" s="21"/>
      <c r="I98" s="134"/>
      <c r="J98" s="135"/>
      <c r="K98" s="134"/>
      <c r="L98" s="135"/>
      <c r="M98" s="135"/>
      <c r="N98" s="135"/>
      <c r="O98" s="135"/>
      <c r="Q98" s="135"/>
      <c r="R98" s="135"/>
      <c r="S98" s="48"/>
      <c r="T98" s="135"/>
      <c r="U98" s="151"/>
      <c r="V98" s="135"/>
      <c r="W98" s="151"/>
      <c r="X98" s="151"/>
      <c r="Y98" s="151"/>
      <c r="Z98" s="249"/>
      <c r="AA98" s="151"/>
      <c r="AB98" s="151"/>
      <c r="AC98" s="151"/>
      <c r="AD98" s="151"/>
      <c r="AE98" s="151"/>
      <c r="AF98" s="151"/>
      <c r="AG98" s="151"/>
      <c r="AH98" s="151"/>
      <c r="AI98" s="151"/>
      <c r="AJ98" s="151"/>
      <c r="AK98" s="151"/>
      <c r="AL98" s="151"/>
      <c r="AM98" s="151"/>
    </row>
    <row r="99" spans="1:39" x14ac:dyDescent="0.2">
      <c r="A99" s="21"/>
      <c r="B99" s="21"/>
      <c r="C99" s="21"/>
      <c r="D99" s="21"/>
      <c r="E99" s="21"/>
      <c r="F99" s="21"/>
      <c r="G99" s="21"/>
      <c r="H99" s="21"/>
      <c r="I99" s="134"/>
      <c r="J99" s="135"/>
      <c r="K99" s="134"/>
      <c r="L99" s="135"/>
      <c r="M99" s="135"/>
      <c r="N99" s="135"/>
      <c r="O99" s="135"/>
      <c r="Q99" s="135"/>
      <c r="R99" s="135"/>
      <c r="S99" s="48"/>
      <c r="T99" s="135"/>
      <c r="U99" s="151"/>
      <c r="V99" s="135"/>
      <c r="W99" s="151"/>
      <c r="X99" s="151"/>
      <c r="Y99" s="151"/>
      <c r="Z99" s="249"/>
      <c r="AA99" s="151"/>
      <c r="AB99" s="151"/>
      <c r="AC99" s="151"/>
      <c r="AD99" s="151"/>
      <c r="AE99" s="151"/>
      <c r="AF99" s="151"/>
      <c r="AG99" s="151"/>
      <c r="AH99" s="151"/>
      <c r="AI99" s="151"/>
      <c r="AJ99" s="151"/>
      <c r="AK99" s="151"/>
      <c r="AL99" s="151"/>
      <c r="AM99" s="151"/>
    </row>
    <row r="100" spans="1:39" x14ac:dyDescent="0.2">
      <c r="A100" s="21"/>
      <c r="B100" s="21"/>
      <c r="C100" s="21"/>
      <c r="D100" s="21"/>
      <c r="E100" s="21"/>
      <c r="F100" s="21"/>
      <c r="G100" s="21"/>
      <c r="H100" s="21"/>
      <c r="I100" s="134"/>
      <c r="J100" s="135"/>
      <c r="K100" s="134"/>
      <c r="L100" s="135"/>
      <c r="M100" s="135"/>
      <c r="N100" s="135"/>
      <c r="O100" s="135"/>
      <c r="Q100" s="135"/>
      <c r="R100" s="135"/>
      <c r="S100" s="48"/>
      <c r="T100" s="135"/>
      <c r="U100" s="151"/>
      <c r="V100" s="135"/>
      <c r="W100" s="151"/>
      <c r="X100" s="151"/>
      <c r="Y100" s="151"/>
      <c r="Z100" s="249"/>
      <c r="AA100" s="151"/>
      <c r="AB100" s="151"/>
      <c r="AC100" s="151"/>
      <c r="AD100" s="151"/>
      <c r="AE100" s="151"/>
      <c r="AF100" s="151"/>
      <c r="AG100" s="151"/>
      <c r="AH100" s="151"/>
      <c r="AI100" s="151"/>
      <c r="AJ100" s="151"/>
      <c r="AK100" s="151"/>
      <c r="AL100" s="151"/>
      <c r="AM100" s="151"/>
    </row>
    <row r="101" spans="1:39" x14ac:dyDescent="0.2">
      <c r="A101" s="21"/>
      <c r="B101" s="21"/>
      <c r="C101" s="21"/>
      <c r="D101" s="21"/>
      <c r="E101" s="21"/>
      <c r="F101" s="21"/>
      <c r="G101" s="21"/>
      <c r="H101" s="21"/>
      <c r="I101" s="134"/>
      <c r="J101" s="135"/>
      <c r="K101" s="134"/>
      <c r="L101" s="135"/>
      <c r="M101" s="135"/>
      <c r="N101" s="135"/>
      <c r="O101" s="135"/>
      <c r="Q101" s="135"/>
      <c r="R101" s="135"/>
      <c r="S101" s="48"/>
      <c r="T101" s="135"/>
      <c r="U101" s="151"/>
      <c r="V101" s="135"/>
      <c r="W101" s="151"/>
      <c r="X101" s="151"/>
      <c r="Y101" s="151"/>
      <c r="Z101" s="249"/>
      <c r="AA101" s="151"/>
      <c r="AB101" s="151"/>
      <c r="AC101" s="151"/>
      <c r="AD101" s="151"/>
      <c r="AE101" s="151"/>
      <c r="AF101" s="151"/>
      <c r="AG101" s="151"/>
      <c r="AH101" s="151"/>
      <c r="AI101" s="151"/>
      <c r="AJ101" s="151"/>
      <c r="AK101" s="151"/>
      <c r="AL101" s="151"/>
      <c r="AM101" s="151"/>
    </row>
    <row r="102" spans="1:39" x14ac:dyDescent="0.2">
      <c r="A102" s="21"/>
      <c r="B102" s="21"/>
      <c r="C102" s="21"/>
      <c r="D102" s="21"/>
      <c r="E102" s="21"/>
      <c r="F102" s="21"/>
      <c r="G102" s="21"/>
      <c r="H102" s="21"/>
      <c r="I102" s="134"/>
      <c r="J102" s="135"/>
      <c r="K102" s="134"/>
      <c r="L102" s="135"/>
      <c r="M102" s="135"/>
      <c r="N102" s="135"/>
      <c r="O102" s="135"/>
      <c r="Q102" s="135"/>
      <c r="R102" s="135"/>
      <c r="S102" s="48"/>
      <c r="T102" s="135"/>
      <c r="U102" s="151"/>
      <c r="V102" s="135"/>
      <c r="W102" s="151"/>
      <c r="X102" s="151"/>
      <c r="Y102" s="151"/>
      <c r="Z102" s="249"/>
      <c r="AA102" s="151"/>
      <c r="AB102" s="151"/>
      <c r="AC102" s="151"/>
      <c r="AD102" s="151"/>
      <c r="AE102" s="151"/>
      <c r="AF102" s="151"/>
      <c r="AG102" s="151"/>
      <c r="AH102" s="151"/>
      <c r="AI102" s="151"/>
      <c r="AJ102" s="151"/>
      <c r="AK102" s="151"/>
      <c r="AL102" s="151"/>
      <c r="AM102" s="151"/>
    </row>
    <row r="103" spans="1:39" x14ac:dyDescent="0.2">
      <c r="A103" s="21"/>
      <c r="B103" s="21"/>
      <c r="C103" s="21"/>
      <c r="D103" s="21"/>
      <c r="E103" s="21"/>
      <c r="F103" s="21"/>
      <c r="G103" s="21"/>
      <c r="H103" s="21"/>
      <c r="I103" s="134"/>
      <c r="J103" s="135"/>
      <c r="K103" s="134"/>
      <c r="L103" s="135"/>
      <c r="M103" s="135"/>
      <c r="N103" s="135"/>
      <c r="O103" s="135"/>
      <c r="Q103" s="135"/>
      <c r="R103" s="135"/>
      <c r="S103" s="48"/>
      <c r="T103" s="135"/>
      <c r="U103" s="151"/>
      <c r="V103" s="135"/>
      <c r="W103" s="151"/>
      <c r="X103" s="151"/>
      <c r="Y103" s="151"/>
      <c r="Z103" s="249"/>
      <c r="AA103" s="151"/>
      <c r="AB103" s="151"/>
      <c r="AC103" s="151"/>
      <c r="AD103" s="151"/>
      <c r="AE103" s="151"/>
      <c r="AF103" s="151"/>
      <c r="AG103" s="151"/>
      <c r="AH103" s="151"/>
      <c r="AI103" s="151"/>
      <c r="AJ103" s="151"/>
      <c r="AK103" s="151"/>
      <c r="AL103" s="151"/>
      <c r="AM103" s="151"/>
    </row>
    <row r="104" spans="1:39" x14ac:dyDescent="0.2">
      <c r="A104" s="21"/>
      <c r="B104" s="21"/>
      <c r="C104" s="21"/>
      <c r="D104" s="21"/>
      <c r="E104" s="21"/>
      <c r="F104" s="21"/>
      <c r="G104" s="21"/>
      <c r="H104" s="21"/>
      <c r="I104" s="134"/>
      <c r="J104" s="135"/>
      <c r="K104" s="134"/>
      <c r="L104" s="135"/>
      <c r="M104" s="135"/>
      <c r="N104" s="135"/>
      <c r="O104" s="135"/>
      <c r="Q104" s="135"/>
      <c r="R104" s="135"/>
      <c r="S104" s="48"/>
      <c r="T104" s="135"/>
      <c r="U104" s="151"/>
      <c r="V104" s="135"/>
      <c r="W104" s="151"/>
      <c r="X104" s="151"/>
      <c r="Y104" s="151"/>
      <c r="Z104" s="249"/>
      <c r="AA104" s="151"/>
      <c r="AB104" s="151"/>
      <c r="AC104" s="151"/>
      <c r="AD104" s="151"/>
      <c r="AE104" s="151"/>
      <c r="AF104" s="151"/>
      <c r="AG104" s="151"/>
      <c r="AH104" s="151"/>
      <c r="AI104" s="151"/>
      <c r="AJ104" s="151"/>
      <c r="AK104" s="151"/>
      <c r="AL104" s="151"/>
      <c r="AM104" s="151"/>
    </row>
    <row r="105" spans="1:39" x14ac:dyDescent="0.2">
      <c r="A105" s="21"/>
      <c r="B105" s="21"/>
      <c r="C105" s="21"/>
      <c r="D105" s="21"/>
      <c r="E105" s="21"/>
      <c r="F105" s="21"/>
      <c r="G105" s="21"/>
      <c r="H105" s="21"/>
      <c r="I105" s="134"/>
      <c r="J105" s="135"/>
      <c r="K105" s="134"/>
      <c r="L105" s="135"/>
      <c r="M105" s="135"/>
      <c r="N105" s="135"/>
      <c r="O105" s="135"/>
      <c r="Q105" s="135"/>
      <c r="R105" s="135"/>
      <c r="S105" s="48"/>
      <c r="T105" s="135"/>
      <c r="U105" s="151"/>
      <c r="V105" s="135"/>
      <c r="W105" s="151"/>
      <c r="X105" s="151"/>
      <c r="Y105" s="151"/>
      <c r="Z105" s="249"/>
      <c r="AA105" s="151"/>
      <c r="AB105" s="151"/>
      <c r="AC105" s="151"/>
      <c r="AD105" s="151"/>
      <c r="AE105" s="151"/>
      <c r="AF105" s="151"/>
      <c r="AG105" s="151"/>
      <c r="AH105" s="151"/>
      <c r="AI105" s="151"/>
      <c r="AJ105" s="151"/>
      <c r="AK105" s="151"/>
      <c r="AL105" s="151"/>
      <c r="AM105" s="151"/>
    </row>
    <row r="106" spans="1:39" x14ac:dyDescent="0.2">
      <c r="A106" s="21"/>
      <c r="B106" s="21"/>
      <c r="C106" s="21"/>
      <c r="D106" s="21"/>
      <c r="E106" s="21"/>
      <c r="F106" s="21"/>
      <c r="G106" s="21"/>
      <c r="H106" s="21"/>
      <c r="I106" s="134"/>
      <c r="J106" s="135"/>
      <c r="K106" s="134"/>
      <c r="L106" s="135"/>
      <c r="M106" s="135"/>
      <c r="N106" s="135"/>
      <c r="O106" s="135"/>
      <c r="Q106" s="135"/>
      <c r="R106" s="135"/>
      <c r="S106" s="48"/>
      <c r="T106" s="135"/>
      <c r="U106" s="151"/>
      <c r="V106" s="135"/>
      <c r="W106" s="151"/>
      <c r="X106" s="151"/>
      <c r="Y106" s="151"/>
      <c r="Z106" s="249"/>
      <c r="AA106" s="151"/>
      <c r="AB106" s="151"/>
      <c r="AC106" s="151"/>
      <c r="AD106" s="151"/>
      <c r="AE106" s="151"/>
      <c r="AF106" s="151"/>
      <c r="AG106" s="151"/>
      <c r="AH106" s="151"/>
      <c r="AI106" s="151"/>
      <c r="AJ106" s="151"/>
      <c r="AK106" s="151"/>
      <c r="AL106" s="151"/>
      <c r="AM106" s="151"/>
    </row>
    <row r="107" spans="1:39" x14ac:dyDescent="0.2">
      <c r="A107" s="21"/>
      <c r="B107" s="21"/>
      <c r="C107" s="21"/>
      <c r="D107" s="21"/>
      <c r="E107" s="21"/>
      <c r="F107" s="21"/>
      <c r="G107" s="21"/>
      <c r="H107" s="21"/>
      <c r="I107" s="134"/>
      <c r="J107" s="135"/>
      <c r="K107" s="134"/>
      <c r="L107" s="135"/>
      <c r="M107" s="135"/>
      <c r="N107" s="135"/>
      <c r="O107" s="135"/>
      <c r="Q107" s="135"/>
      <c r="R107" s="135"/>
      <c r="S107" s="48"/>
      <c r="T107" s="135"/>
      <c r="U107" s="151"/>
      <c r="V107" s="135"/>
      <c r="W107" s="151"/>
      <c r="X107" s="151"/>
      <c r="Y107" s="151"/>
      <c r="Z107" s="249"/>
      <c r="AA107" s="151"/>
      <c r="AB107" s="151"/>
      <c r="AC107" s="151"/>
      <c r="AD107" s="151"/>
      <c r="AE107" s="151"/>
      <c r="AF107" s="151"/>
      <c r="AG107" s="151"/>
      <c r="AH107" s="151"/>
      <c r="AI107" s="151"/>
      <c r="AJ107" s="151"/>
      <c r="AK107" s="151"/>
      <c r="AL107" s="151"/>
      <c r="AM107" s="151"/>
    </row>
    <row r="108" spans="1:39" x14ac:dyDescent="0.2">
      <c r="A108" s="21"/>
      <c r="B108" s="21"/>
      <c r="C108" s="21"/>
      <c r="D108" s="21"/>
      <c r="E108" s="21"/>
      <c r="F108" s="21"/>
      <c r="G108" s="21"/>
      <c r="H108" s="21"/>
      <c r="I108" s="134"/>
      <c r="J108" s="135"/>
      <c r="K108" s="134"/>
      <c r="L108" s="135"/>
      <c r="M108" s="135"/>
      <c r="N108" s="135"/>
      <c r="O108" s="135"/>
      <c r="Q108" s="135"/>
      <c r="R108" s="135"/>
      <c r="S108" s="48"/>
      <c r="T108" s="135"/>
      <c r="U108" s="151"/>
      <c r="V108" s="135"/>
      <c r="W108" s="151"/>
      <c r="X108" s="151"/>
      <c r="Y108" s="151"/>
      <c r="Z108" s="249"/>
      <c r="AA108" s="151"/>
      <c r="AB108" s="151"/>
      <c r="AC108" s="151"/>
      <c r="AD108" s="151"/>
      <c r="AE108" s="151"/>
      <c r="AF108" s="151"/>
      <c r="AG108" s="151"/>
      <c r="AH108" s="151"/>
      <c r="AI108" s="151"/>
      <c r="AJ108" s="151"/>
      <c r="AK108" s="151"/>
      <c r="AL108" s="151"/>
      <c r="AM108" s="151"/>
    </row>
    <row r="109" spans="1:39" x14ac:dyDescent="0.2">
      <c r="A109" s="21"/>
      <c r="B109" s="21"/>
      <c r="C109" s="21"/>
      <c r="D109" s="21"/>
      <c r="E109" s="21"/>
      <c r="F109" s="21"/>
      <c r="G109" s="21"/>
      <c r="H109" s="21"/>
      <c r="I109" s="134"/>
      <c r="J109" s="135"/>
      <c r="K109" s="134"/>
      <c r="L109" s="135"/>
      <c r="M109" s="135"/>
      <c r="N109" s="135"/>
      <c r="O109" s="135"/>
      <c r="Q109" s="135"/>
      <c r="R109" s="135"/>
      <c r="S109" s="48"/>
      <c r="T109" s="135"/>
      <c r="U109" s="151"/>
      <c r="V109" s="135"/>
      <c r="W109" s="151"/>
      <c r="X109" s="151"/>
      <c r="Y109" s="151"/>
      <c r="Z109" s="249"/>
      <c r="AA109" s="151"/>
      <c r="AB109" s="151"/>
      <c r="AC109" s="151"/>
      <c r="AD109" s="151"/>
      <c r="AE109" s="151"/>
      <c r="AF109" s="151"/>
      <c r="AG109" s="151"/>
      <c r="AH109" s="151"/>
      <c r="AI109" s="151"/>
      <c r="AJ109" s="151"/>
      <c r="AK109" s="151"/>
      <c r="AL109" s="151"/>
      <c r="AM109" s="151"/>
    </row>
    <row r="110" spans="1:39" x14ac:dyDescent="0.2">
      <c r="A110" s="21"/>
      <c r="B110" s="21"/>
      <c r="C110" s="21"/>
      <c r="D110" s="21"/>
      <c r="E110" s="21"/>
      <c r="F110" s="21"/>
      <c r="G110" s="21"/>
      <c r="H110" s="21"/>
      <c r="I110" s="134"/>
      <c r="J110" s="135"/>
      <c r="K110" s="134"/>
      <c r="L110" s="135"/>
      <c r="M110" s="135"/>
      <c r="N110" s="135"/>
      <c r="O110" s="135"/>
      <c r="Q110" s="135"/>
      <c r="R110" s="135"/>
      <c r="S110" s="48"/>
      <c r="T110" s="135"/>
      <c r="U110" s="151"/>
      <c r="V110" s="135"/>
      <c r="W110" s="151"/>
      <c r="X110" s="151"/>
      <c r="Y110" s="151"/>
      <c r="Z110" s="249"/>
      <c r="AA110" s="151"/>
      <c r="AB110" s="151"/>
      <c r="AC110" s="151"/>
      <c r="AD110" s="151"/>
      <c r="AE110" s="151"/>
      <c r="AF110" s="151"/>
      <c r="AG110" s="151"/>
      <c r="AH110" s="151"/>
      <c r="AI110" s="151"/>
      <c r="AJ110" s="151"/>
      <c r="AK110" s="151"/>
      <c r="AL110" s="151"/>
      <c r="AM110" s="151"/>
    </row>
    <row r="111" spans="1:39" x14ac:dyDescent="0.2">
      <c r="A111" s="21"/>
      <c r="B111" s="21"/>
      <c r="C111" s="21"/>
      <c r="D111" s="21"/>
      <c r="E111" s="21"/>
      <c r="F111" s="21"/>
      <c r="G111" s="21"/>
      <c r="H111" s="21"/>
      <c r="I111" s="134"/>
      <c r="J111" s="135"/>
      <c r="K111" s="134"/>
      <c r="L111" s="135"/>
      <c r="M111" s="135"/>
      <c r="N111" s="135"/>
      <c r="O111" s="135"/>
      <c r="Q111" s="135"/>
      <c r="R111" s="135"/>
      <c r="S111" s="48"/>
      <c r="T111" s="135"/>
      <c r="U111" s="151"/>
      <c r="V111" s="135"/>
      <c r="W111" s="151"/>
      <c r="X111" s="151"/>
      <c r="Y111" s="151"/>
      <c r="Z111" s="249"/>
      <c r="AA111" s="151"/>
      <c r="AB111" s="151"/>
      <c r="AC111" s="151"/>
      <c r="AD111" s="151"/>
      <c r="AE111" s="151"/>
      <c r="AF111" s="151"/>
      <c r="AG111" s="151"/>
      <c r="AH111" s="151"/>
      <c r="AI111" s="151"/>
      <c r="AJ111" s="151"/>
      <c r="AK111" s="151"/>
      <c r="AL111" s="151"/>
      <c r="AM111" s="151"/>
    </row>
    <row r="112" spans="1:39" x14ac:dyDescent="0.2">
      <c r="A112" s="21"/>
      <c r="B112" s="21"/>
      <c r="C112" s="21"/>
      <c r="D112" s="21"/>
      <c r="E112" s="21"/>
      <c r="F112" s="21"/>
      <c r="G112" s="21"/>
      <c r="H112" s="21"/>
      <c r="I112" s="134"/>
      <c r="J112" s="135"/>
      <c r="K112" s="134"/>
      <c r="L112" s="135"/>
      <c r="M112" s="135"/>
      <c r="N112" s="135"/>
      <c r="O112" s="135"/>
      <c r="Q112" s="135"/>
      <c r="R112" s="135"/>
      <c r="S112" s="48"/>
      <c r="T112" s="135"/>
      <c r="U112" s="151"/>
      <c r="V112" s="135"/>
      <c r="W112" s="151"/>
      <c r="X112" s="151"/>
      <c r="Y112" s="151"/>
      <c r="Z112" s="249"/>
      <c r="AA112" s="151"/>
      <c r="AB112" s="151"/>
      <c r="AC112" s="151"/>
      <c r="AD112" s="151"/>
      <c r="AE112" s="151"/>
      <c r="AF112" s="151"/>
      <c r="AG112" s="151"/>
      <c r="AH112" s="151"/>
      <c r="AI112" s="151"/>
      <c r="AJ112" s="151"/>
      <c r="AK112" s="151"/>
      <c r="AL112" s="151"/>
      <c r="AM112" s="151"/>
    </row>
    <row r="113" spans="1:39" x14ac:dyDescent="0.2">
      <c r="A113" s="21"/>
      <c r="B113" s="21"/>
      <c r="C113" s="21"/>
      <c r="D113" s="21"/>
      <c r="E113" s="21"/>
      <c r="F113" s="21"/>
      <c r="G113" s="21"/>
      <c r="H113" s="21"/>
      <c r="I113" s="134"/>
      <c r="J113" s="135"/>
      <c r="K113" s="134"/>
      <c r="L113" s="135"/>
      <c r="M113" s="135"/>
      <c r="N113" s="135"/>
      <c r="O113" s="135"/>
      <c r="Q113" s="135"/>
      <c r="R113" s="135"/>
      <c r="S113" s="48"/>
      <c r="T113" s="135"/>
      <c r="U113" s="151"/>
      <c r="V113" s="135"/>
      <c r="W113" s="151"/>
      <c r="X113" s="151"/>
      <c r="Y113" s="151"/>
      <c r="Z113" s="249"/>
      <c r="AA113" s="151"/>
      <c r="AB113" s="151"/>
      <c r="AC113" s="151"/>
      <c r="AD113" s="151"/>
      <c r="AE113" s="151"/>
      <c r="AF113" s="151"/>
      <c r="AG113" s="151"/>
      <c r="AH113" s="151"/>
      <c r="AI113" s="151"/>
      <c r="AJ113" s="151"/>
      <c r="AK113" s="151"/>
      <c r="AL113" s="151"/>
      <c r="AM113" s="151"/>
    </row>
    <row r="114" spans="1:39" x14ac:dyDescent="0.2">
      <c r="A114" s="21"/>
      <c r="B114" s="21"/>
      <c r="C114" s="21"/>
      <c r="D114" s="21"/>
      <c r="E114" s="21"/>
      <c r="F114" s="21"/>
      <c r="G114" s="21"/>
      <c r="H114" s="21"/>
      <c r="I114" s="134"/>
      <c r="J114" s="135"/>
      <c r="K114" s="134"/>
      <c r="L114" s="135"/>
      <c r="M114" s="135"/>
      <c r="N114" s="135"/>
      <c r="O114" s="135"/>
      <c r="Q114" s="135"/>
      <c r="R114" s="135"/>
      <c r="S114" s="48"/>
      <c r="T114" s="135"/>
      <c r="U114" s="151"/>
      <c r="V114" s="135"/>
      <c r="W114" s="151"/>
      <c r="X114" s="151"/>
      <c r="Y114" s="151"/>
      <c r="Z114" s="249"/>
      <c r="AA114" s="151"/>
      <c r="AB114" s="151"/>
      <c r="AC114" s="151"/>
      <c r="AD114" s="151"/>
      <c r="AE114" s="151"/>
      <c r="AF114" s="151"/>
      <c r="AG114" s="151"/>
      <c r="AH114" s="151"/>
      <c r="AI114" s="151"/>
      <c r="AJ114" s="151"/>
      <c r="AK114" s="151"/>
      <c r="AL114" s="151"/>
      <c r="AM114" s="151"/>
    </row>
    <row r="115" spans="1:39" x14ac:dyDescent="0.2">
      <c r="A115" s="21"/>
      <c r="B115" s="21"/>
      <c r="C115" s="21"/>
      <c r="D115" s="21"/>
      <c r="E115" s="21"/>
      <c r="F115" s="21"/>
      <c r="G115" s="21"/>
      <c r="H115" s="21"/>
      <c r="I115" s="134"/>
      <c r="J115" s="135"/>
      <c r="K115" s="134"/>
      <c r="L115" s="135"/>
      <c r="M115" s="135"/>
      <c r="N115" s="135"/>
      <c r="O115" s="135"/>
      <c r="Q115" s="135"/>
      <c r="R115" s="135"/>
      <c r="S115" s="48"/>
      <c r="T115" s="135"/>
      <c r="U115" s="151"/>
      <c r="V115" s="135"/>
      <c r="W115" s="151"/>
      <c r="X115" s="151"/>
      <c r="Y115" s="151"/>
      <c r="Z115" s="249"/>
      <c r="AA115" s="151"/>
      <c r="AB115" s="151"/>
      <c r="AC115" s="151"/>
      <c r="AD115" s="151"/>
      <c r="AE115" s="151"/>
      <c r="AF115" s="151"/>
      <c r="AG115" s="151"/>
      <c r="AH115" s="151"/>
      <c r="AI115" s="151"/>
      <c r="AJ115" s="151"/>
      <c r="AK115" s="151"/>
      <c r="AL115" s="151"/>
      <c r="AM115" s="151"/>
    </row>
    <row r="116" spans="1:39" x14ac:dyDescent="0.2">
      <c r="A116" s="21"/>
      <c r="B116" s="21"/>
      <c r="C116" s="21"/>
      <c r="D116" s="21"/>
      <c r="E116" s="21"/>
      <c r="F116" s="21"/>
      <c r="G116" s="21"/>
      <c r="H116" s="21"/>
      <c r="I116" s="134"/>
      <c r="J116" s="135"/>
      <c r="K116" s="134"/>
      <c r="L116" s="135"/>
      <c r="M116" s="135"/>
      <c r="N116" s="135"/>
      <c r="O116" s="135"/>
      <c r="Q116" s="135"/>
      <c r="R116" s="135"/>
      <c r="S116" s="48"/>
      <c r="T116" s="135"/>
      <c r="U116" s="151"/>
      <c r="V116" s="135"/>
      <c r="W116" s="151"/>
      <c r="X116" s="151"/>
      <c r="Y116" s="151"/>
      <c r="Z116" s="249"/>
      <c r="AA116" s="151"/>
      <c r="AB116" s="151"/>
      <c r="AC116" s="151"/>
      <c r="AD116" s="151"/>
      <c r="AE116" s="151"/>
      <c r="AF116" s="151"/>
      <c r="AG116" s="151"/>
      <c r="AH116" s="151"/>
      <c r="AI116" s="151"/>
      <c r="AJ116" s="151"/>
      <c r="AK116" s="151"/>
      <c r="AL116" s="151"/>
      <c r="AM116" s="151"/>
    </row>
    <row r="117" spans="1:39" x14ac:dyDescent="0.2">
      <c r="A117" s="21"/>
      <c r="B117" s="21"/>
      <c r="C117" s="21"/>
      <c r="D117" s="21"/>
      <c r="E117" s="21"/>
      <c r="F117" s="21"/>
      <c r="G117" s="21"/>
      <c r="H117" s="21"/>
      <c r="I117" s="134"/>
      <c r="J117" s="135"/>
      <c r="K117" s="134"/>
      <c r="L117" s="135"/>
      <c r="M117" s="135"/>
      <c r="N117" s="135"/>
      <c r="O117" s="135"/>
      <c r="Q117" s="135"/>
      <c r="R117" s="135"/>
      <c r="S117" s="48"/>
      <c r="T117" s="135"/>
      <c r="U117" s="151"/>
      <c r="V117" s="135"/>
      <c r="W117" s="151"/>
      <c r="X117" s="151"/>
      <c r="Y117" s="151"/>
      <c r="Z117" s="249"/>
      <c r="AA117" s="151"/>
      <c r="AB117" s="151"/>
      <c r="AC117" s="151"/>
      <c r="AD117" s="151"/>
      <c r="AE117" s="151"/>
      <c r="AF117" s="151"/>
      <c r="AG117" s="151"/>
      <c r="AH117" s="151"/>
      <c r="AI117" s="151"/>
      <c r="AJ117" s="151"/>
      <c r="AK117" s="151"/>
      <c r="AL117" s="151"/>
      <c r="AM117" s="151"/>
    </row>
    <row r="118" spans="1:39" x14ac:dyDescent="0.2">
      <c r="A118" s="21"/>
      <c r="B118" s="21"/>
      <c r="C118" s="21"/>
      <c r="D118" s="21"/>
      <c r="E118" s="21"/>
      <c r="F118" s="21"/>
      <c r="G118" s="21"/>
      <c r="H118" s="21"/>
      <c r="I118" s="134"/>
      <c r="J118" s="135"/>
      <c r="K118" s="134"/>
      <c r="L118" s="135"/>
      <c r="M118" s="135"/>
      <c r="N118" s="135"/>
      <c r="O118" s="135"/>
      <c r="Q118" s="135"/>
      <c r="R118" s="135"/>
      <c r="S118" s="48"/>
      <c r="T118" s="135"/>
      <c r="U118" s="151"/>
      <c r="V118" s="135"/>
      <c r="W118" s="151"/>
      <c r="X118" s="151"/>
      <c r="Y118" s="151"/>
      <c r="Z118" s="249"/>
      <c r="AA118" s="151"/>
      <c r="AB118" s="151"/>
      <c r="AC118" s="151"/>
      <c r="AD118" s="151"/>
      <c r="AE118" s="151"/>
      <c r="AF118" s="151"/>
      <c r="AG118" s="151"/>
      <c r="AH118" s="151"/>
      <c r="AI118" s="151"/>
      <c r="AJ118" s="151"/>
      <c r="AK118" s="151"/>
      <c r="AL118" s="151"/>
      <c r="AM118" s="151"/>
    </row>
    <row r="119" spans="1:39" x14ac:dyDescent="0.2">
      <c r="A119" s="21"/>
      <c r="B119" s="21"/>
      <c r="C119" s="21"/>
      <c r="D119" s="21"/>
      <c r="E119" s="21"/>
      <c r="F119" s="21"/>
      <c r="G119" s="21"/>
      <c r="H119" s="21"/>
      <c r="I119" s="134"/>
      <c r="J119" s="135"/>
      <c r="K119" s="134"/>
      <c r="L119" s="135"/>
      <c r="M119" s="135"/>
      <c r="N119" s="135"/>
      <c r="O119" s="135"/>
      <c r="Q119" s="135"/>
      <c r="R119" s="135"/>
      <c r="S119" s="48"/>
      <c r="T119" s="135"/>
      <c r="U119" s="151"/>
      <c r="V119" s="135"/>
      <c r="W119" s="151"/>
      <c r="X119" s="151"/>
      <c r="Y119" s="151"/>
      <c r="Z119" s="249"/>
      <c r="AA119" s="151"/>
      <c r="AB119" s="151"/>
      <c r="AC119" s="151"/>
      <c r="AD119" s="151"/>
      <c r="AE119" s="151"/>
      <c r="AF119" s="151"/>
      <c r="AG119" s="151"/>
      <c r="AH119" s="151"/>
      <c r="AI119" s="151"/>
      <c r="AJ119" s="151"/>
      <c r="AK119" s="151"/>
      <c r="AL119" s="151"/>
      <c r="AM119" s="151"/>
    </row>
    <row r="120" spans="1:39" x14ac:dyDescent="0.2">
      <c r="A120" s="21"/>
      <c r="B120" s="21"/>
      <c r="C120" s="21"/>
      <c r="D120" s="21"/>
      <c r="E120" s="21"/>
      <c r="F120" s="21"/>
      <c r="G120" s="21"/>
      <c r="H120" s="21"/>
      <c r="I120" s="134"/>
      <c r="J120" s="135"/>
      <c r="K120" s="134"/>
      <c r="L120" s="135"/>
      <c r="M120" s="135"/>
      <c r="N120" s="135"/>
      <c r="O120" s="135"/>
      <c r="Q120" s="135"/>
      <c r="R120" s="135"/>
      <c r="S120" s="48"/>
      <c r="T120" s="135"/>
      <c r="U120" s="151"/>
      <c r="V120" s="135"/>
      <c r="W120" s="151"/>
      <c r="X120" s="151"/>
      <c r="Y120" s="151"/>
      <c r="Z120" s="249"/>
      <c r="AA120" s="151"/>
      <c r="AB120" s="151"/>
      <c r="AC120" s="151"/>
      <c r="AD120" s="151"/>
      <c r="AE120" s="151"/>
      <c r="AF120" s="151"/>
      <c r="AG120" s="151"/>
      <c r="AH120" s="151"/>
      <c r="AI120" s="151"/>
      <c r="AJ120" s="151"/>
      <c r="AK120" s="151"/>
      <c r="AL120" s="151"/>
      <c r="AM120" s="151"/>
    </row>
    <row r="121" spans="1:39" x14ac:dyDescent="0.2">
      <c r="A121" s="21"/>
      <c r="B121" s="21"/>
      <c r="C121" s="21"/>
      <c r="D121" s="21"/>
      <c r="E121" s="21"/>
      <c r="F121" s="21"/>
      <c r="G121" s="21"/>
      <c r="H121" s="21"/>
      <c r="I121" s="134"/>
      <c r="J121" s="135"/>
      <c r="K121" s="134"/>
      <c r="L121" s="135"/>
      <c r="M121" s="135"/>
      <c r="N121" s="135"/>
      <c r="O121" s="135"/>
      <c r="Q121" s="135"/>
      <c r="R121" s="135"/>
      <c r="S121" s="48"/>
      <c r="T121" s="135"/>
      <c r="U121" s="151"/>
      <c r="V121" s="135"/>
      <c r="W121" s="151"/>
      <c r="X121" s="151"/>
      <c r="Y121" s="151"/>
      <c r="Z121" s="249"/>
      <c r="AA121" s="151"/>
      <c r="AB121" s="151"/>
      <c r="AC121" s="151"/>
      <c r="AD121" s="151"/>
      <c r="AE121" s="151"/>
      <c r="AF121" s="151"/>
      <c r="AG121" s="151"/>
      <c r="AH121" s="151"/>
      <c r="AI121" s="151"/>
      <c r="AJ121" s="151"/>
      <c r="AK121" s="151"/>
      <c r="AL121" s="151"/>
      <c r="AM121" s="151"/>
    </row>
    <row r="122" spans="1:39" x14ac:dyDescent="0.2">
      <c r="A122" s="21"/>
      <c r="B122" s="21"/>
      <c r="C122" s="21"/>
      <c r="D122" s="21"/>
      <c r="E122" s="21"/>
      <c r="F122" s="21"/>
      <c r="G122" s="21"/>
      <c r="H122" s="21"/>
      <c r="I122" s="134"/>
      <c r="J122" s="135"/>
      <c r="K122" s="134"/>
      <c r="L122" s="135"/>
      <c r="M122" s="135"/>
      <c r="N122" s="135"/>
      <c r="O122" s="135"/>
      <c r="Q122" s="135"/>
      <c r="R122" s="135"/>
      <c r="S122" s="48"/>
      <c r="T122" s="135"/>
      <c r="U122" s="151"/>
      <c r="V122" s="135"/>
      <c r="W122" s="151"/>
      <c r="X122" s="151"/>
      <c r="Y122" s="151"/>
      <c r="Z122" s="249"/>
      <c r="AA122" s="151"/>
      <c r="AB122" s="151"/>
      <c r="AC122" s="151"/>
      <c r="AD122" s="151"/>
      <c r="AE122" s="151"/>
      <c r="AF122" s="151"/>
      <c r="AG122" s="151"/>
      <c r="AH122" s="151"/>
      <c r="AI122" s="151"/>
      <c r="AJ122" s="151"/>
      <c r="AK122" s="151"/>
      <c r="AL122" s="151"/>
      <c r="AM122" s="151"/>
    </row>
    <row r="123" spans="1:39" x14ac:dyDescent="0.2">
      <c r="A123" s="21"/>
      <c r="B123" s="21"/>
      <c r="C123" s="21"/>
      <c r="D123" s="21"/>
      <c r="E123" s="21"/>
      <c r="F123" s="21"/>
      <c r="G123" s="21"/>
      <c r="H123" s="21"/>
      <c r="I123" s="134"/>
      <c r="J123" s="135"/>
      <c r="K123" s="134"/>
      <c r="L123" s="135"/>
      <c r="M123" s="135"/>
      <c r="N123" s="135"/>
      <c r="O123" s="135"/>
      <c r="Q123" s="135"/>
      <c r="R123" s="135"/>
      <c r="S123" s="48"/>
      <c r="T123" s="135"/>
      <c r="U123" s="151"/>
      <c r="V123" s="135"/>
      <c r="W123" s="151"/>
      <c r="X123" s="151"/>
      <c r="Y123" s="151"/>
      <c r="Z123" s="249"/>
      <c r="AA123" s="151"/>
      <c r="AB123" s="151"/>
      <c r="AC123" s="151"/>
      <c r="AD123" s="151"/>
      <c r="AE123" s="151"/>
      <c r="AF123" s="151"/>
      <c r="AG123" s="151"/>
      <c r="AH123" s="151"/>
      <c r="AI123" s="151"/>
      <c r="AJ123" s="151"/>
      <c r="AK123" s="151"/>
      <c r="AL123" s="151"/>
      <c r="AM123" s="151"/>
    </row>
    <row r="124" spans="1:39" x14ac:dyDescent="0.2">
      <c r="A124" s="21"/>
      <c r="B124" s="21"/>
      <c r="C124" s="21"/>
      <c r="D124" s="21"/>
      <c r="E124" s="21"/>
      <c r="F124" s="21"/>
      <c r="G124" s="21"/>
      <c r="H124" s="21"/>
      <c r="I124" s="134"/>
      <c r="J124" s="135"/>
      <c r="K124" s="134"/>
      <c r="L124" s="135"/>
      <c r="M124" s="135"/>
      <c r="N124" s="135"/>
      <c r="O124" s="135"/>
      <c r="Q124" s="135"/>
      <c r="R124" s="135"/>
      <c r="S124" s="48"/>
      <c r="T124" s="135"/>
      <c r="U124" s="151"/>
      <c r="V124" s="135"/>
      <c r="W124" s="151"/>
      <c r="X124" s="151"/>
      <c r="Y124" s="151"/>
      <c r="Z124" s="249"/>
      <c r="AA124" s="151"/>
      <c r="AB124" s="151"/>
      <c r="AC124" s="151"/>
      <c r="AD124" s="151"/>
      <c r="AE124" s="151"/>
      <c r="AF124" s="151"/>
      <c r="AG124" s="151"/>
      <c r="AH124" s="151"/>
      <c r="AI124" s="151"/>
      <c r="AJ124" s="151"/>
      <c r="AK124" s="151"/>
      <c r="AL124" s="151"/>
      <c r="AM124" s="151"/>
    </row>
    <row r="125" spans="1:39" x14ac:dyDescent="0.2">
      <c r="A125" s="21"/>
      <c r="B125" s="21"/>
      <c r="C125" s="21"/>
      <c r="D125" s="21"/>
      <c r="E125" s="21"/>
      <c r="F125" s="21"/>
      <c r="G125" s="21"/>
      <c r="H125" s="21"/>
      <c r="I125" s="134"/>
      <c r="J125" s="135"/>
      <c r="K125" s="134"/>
      <c r="L125" s="135"/>
      <c r="M125" s="135"/>
      <c r="N125" s="135"/>
      <c r="O125" s="135"/>
      <c r="Q125" s="135"/>
      <c r="R125" s="135"/>
      <c r="S125" s="48"/>
      <c r="T125" s="135"/>
      <c r="U125" s="151"/>
      <c r="V125" s="135"/>
      <c r="W125" s="151"/>
      <c r="X125" s="151"/>
      <c r="Y125" s="151"/>
      <c r="Z125" s="249"/>
      <c r="AA125" s="151"/>
      <c r="AB125" s="151"/>
      <c r="AC125" s="151"/>
      <c r="AD125" s="151"/>
      <c r="AE125" s="151"/>
      <c r="AF125" s="151"/>
      <c r="AG125" s="151"/>
      <c r="AH125" s="151"/>
      <c r="AI125" s="151"/>
      <c r="AJ125" s="151"/>
      <c r="AK125" s="151"/>
      <c r="AL125" s="151"/>
      <c r="AM125" s="151"/>
    </row>
    <row r="126" spans="1:39" x14ac:dyDescent="0.2">
      <c r="A126" s="21"/>
      <c r="B126" s="21"/>
      <c r="C126" s="21"/>
      <c r="D126" s="21"/>
      <c r="E126" s="21"/>
      <c r="F126" s="21"/>
      <c r="G126" s="21"/>
      <c r="H126" s="21"/>
      <c r="I126" s="134"/>
      <c r="J126" s="135"/>
      <c r="K126" s="134"/>
      <c r="L126" s="135"/>
      <c r="M126" s="135"/>
      <c r="N126" s="135"/>
      <c r="O126" s="135"/>
      <c r="Q126" s="135"/>
      <c r="R126" s="135"/>
      <c r="S126" s="48"/>
      <c r="T126" s="135"/>
      <c r="U126" s="151"/>
      <c r="V126" s="135"/>
      <c r="W126" s="151"/>
      <c r="X126" s="151"/>
      <c r="Y126" s="151"/>
      <c r="Z126" s="249"/>
      <c r="AA126" s="151"/>
      <c r="AB126" s="151"/>
      <c r="AC126" s="151"/>
      <c r="AD126" s="151"/>
      <c r="AE126" s="151"/>
      <c r="AF126" s="151"/>
      <c r="AG126" s="151"/>
      <c r="AH126" s="151"/>
      <c r="AI126" s="151"/>
      <c r="AJ126" s="151"/>
      <c r="AK126" s="151"/>
      <c r="AL126" s="151"/>
      <c r="AM126" s="151"/>
    </row>
    <row r="127" spans="1:39" x14ac:dyDescent="0.2">
      <c r="A127" s="21"/>
      <c r="B127" s="21"/>
      <c r="C127" s="21"/>
      <c r="D127" s="21"/>
      <c r="E127" s="21"/>
      <c r="F127" s="21"/>
      <c r="G127" s="21"/>
      <c r="H127" s="21"/>
      <c r="I127" s="134"/>
      <c r="J127" s="135"/>
      <c r="K127" s="134"/>
      <c r="L127" s="135"/>
      <c r="M127" s="135"/>
      <c r="N127" s="135"/>
      <c r="O127" s="135"/>
      <c r="Q127" s="135"/>
      <c r="R127" s="135"/>
      <c r="S127" s="48"/>
      <c r="T127" s="135"/>
      <c r="U127" s="151"/>
      <c r="V127" s="135"/>
      <c r="W127" s="151"/>
      <c r="X127" s="151"/>
      <c r="Y127" s="151"/>
      <c r="Z127" s="249"/>
      <c r="AA127" s="151"/>
      <c r="AB127" s="151"/>
      <c r="AC127" s="151"/>
      <c r="AD127" s="151"/>
      <c r="AE127" s="151"/>
      <c r="AF127" s="151"/>
      <c r="AG127" s="151"/>
      <c r="AH127" s="151"/>
      <c r="AI127" s="151"/>
      <c r="AJ127" s="151"/>
      <c r="AK127" s="151"/>
      <c r="AL127" s="151"/>
      <c r="AM127" s="151"/>
    </row>
    <row r="128" spans="1:39" x14ac:dyDescent="0.2">
      <c r="A128" s="21"/>
      <c r="B128" s="21"/>
      <c r="C128" s="21"/>
      <c r="D128" s="21"/>
      <c r="E128" s="21"/>
      <c r="F128" s="21"/>
      <c r="G128" s="21"/>
      <c r="H128" s="21"/>
      <c r="I128" s="134"/>
      <c r="J128" s="135"/>
      <c r="K128" s="134"/>
      <c r="L128" s="135"/>
      <c r="M128" s="135"/>
      <c r="N128" s="135"/>
      <c r="O128" s="135"/>
      <c r="Q128" s="135"/>
      <c r="R128" s="135"/>
      <c r="S128" s="48"/>
      <c r="T128" s="135"/>
      <c r="U128" s="151"/>
      <c r="V128" s="135"/>
      <c r="W128" s="151"/>
      <c r="X128" s="151"/>
      <c r="Y128" s="151"/>
      <c r="Z128" s="249"/>
      <c r="AA128" s="151"/>
      <c r="AB128" s="151"/>
      <c r="AC128" s="151"/>
      <c r="AD128" s="151"/>
      <c r="AE128" s="151"/>
      <c r="AF128" s="151"/>
      <c r="AG128" s="151"/>
      <c r="AH128" s="151"/>
      <c r="AI128" s="151"/>
      <c r="AJ128" s="151"/>
      <c r="AK128" s="151"/>
      <c r="AL128" s="151"/>
      <c r="AM128" s="151"/>
    </row>
    <row r="129" spans="1:39" x14ac:dyDescent="0.2">
      <c r="A129" s="21"/>
      <c r="B129" s="21"/>
      <c r="C129" s="21"/>
      <c r="D129" s="21"/>
      <c r="E129" s="21"/>
      <c r="F129" s="21"/>
      <c r="G129" s="21"/>
      <c r="H129" s="21"/>
      <c r="I129" s="134"/>
      <c r="J129" s="135"/>
      <c r="K129" s="134"/>
      <c r="L129" s="135"/>
      <c r="M129" s="135"/>
      <c r="N129" s="135"/>
      <c r="O129" s="135"/>
      <c r="Q129" s="135"/>
      <c r="R129" s="135"/>
      <c r="S129" s="48"/>
      <c r="T129" s="135"/>
      <c r="U129" s="151"/>
      <c r="V129" s="135"/>
      <c r="W129" s="151"/>
      <c r="X129" s="151"/>
      <c r="Y129" s="151"/>
      <c r="Z129" s="249"/>
      <c r="AA129" s="151"/>
      <c r="AB129" s="151"/>
      <c r="AC129" s="151"/>
      <c r="AD129" s="151"/>
      <c r="AE129" s="151"/>
      <c r="AF129" s="151"/>
      <c r="AG129" s="151"/>
      <c r="AH129" s="151"/>
      <c r="AI129" s="151"/>
      <c r="AJ129" s="151"/>
      <c r="AK129" s="151"/>
      <c r="AL129" s="151"/>
      <c r="AM129" s="151"/>
    </row>
    <row r="130" spans="1:39" x14ac:dyDescent="0.2">
      <c r="A130" s="21"/>
      <c r="B130" s="21"/>
      <c r="C130" s="21"/>
      <c r="D130" s="21"/>
      <c r="E130" s="21"/>
      <c r="F130" s="21"/>
      <c r="G130" s="21"/>
      <c r="H130" s="21"/>
      <c r="I130" s="134"/>
      <c r="J130" s="135"/>
      <c r="K130" s="134"/>
      <c r="L130" s="135"/>
      <c r="M130" s="135"/>
      <c r="N130" s="135"/>
      <c r="O130" s="135"/>
      <c r="Q130" s="135"/>
      <c r="R130" s="135"/>
      <c r="S130" s="48"/>
      <c r="T130" s="135"/>
      <c r="U130" s="151"/>
      <c r="V130" s="135"/>
      <c r="W130" s="151"/>
      <c r="X130" s="151"/>
      <c r="Y130" s="151"/>
      <c r="Z130" s="249"/>
      <c r="AA130" s="151"/>
      <c r="AB130" s="151"/>
      <c r="AC130" s="151"/>
      <c r="AD130" s="151"/>
      <c r="AE130" s="151"/>
      <c r="AF130" s="151"/>
      <c r="AG130" s="151"/>
      <c r="AH130" s="151"/>
      <c r="AI130" s="151"/>
      <c r="AJ130" s="151"/>
      <c r="AK130" s="151"/>
      <c r="AL130" s="151"/>
      <c r="AM130" s="151"/>
    </row>
    <row r="131" spans="1:39" x14ac:dyDescent="0.2">
      <c r="A131" s="21"/>
      <c r="B131" s="21"/>
      <c r="C131" s="21"/>
      <c r="D131" s="21"/>
      <c r="E131" s="21"/>
      <c r="F131" s="21"/>
      <c r="G131" s="21"/>
      <c r="H131" s="21"/>
      <c r="I131" s="134"/>
      <c r="J131" s="135"/>
      <c r="K131" s="134"/>
      <c r="L131" s="135"/>
      <c r="M131" s="135"/>
      <c r="N131" s="135"/>
      <c r="O131" s="135"/>
      <c r="Q131" s="135"/>
      <c r="R131" s="135"/>
      <c r="S131" s="48"/>
      <c r="T131" s="135"/>
      <c r="U131" s="151"/>
      <c r="V131" s="135"/>
      <c r="W131" s="151"/>
      <c r="X131" s="151"/>
      <c r="Y131" s="151"/>
      <c r="Z131" s="249"/>
      <c r="AA131" s="151"/>
      <c r="AB131" s="151"/>
      <c r="AC131" s="151"/>
      <c r="AD131" s="151"/>
      <c r="AE131" s="151"/>
      <c r="AF131" s="151"/>
      <c r="AG131" s="151"/>
      <c r="AH131" s="151"/>
      <c r="AI131" s="151"/>
      <c r="AJ131" s="151"/>
      <c r="AK131" s="151"/>
      <c r="AL131" s="151"/>
      <c r="AM131" s="151"/>
    </row>
    <row r="132" spans="1:39" x14ac:dyDescent="0.2">
      <c r="A132" s="21"/>
      <c r="B132" s="21"/>
      <c r="C132" s="21"/>
      <c r="D132" s="21"/>
      <c r="E132" s="21"/>
      <c r="F132" s="21"/>
      <c r="G132" s="21"/>
      <c r="H132" s="21"/>
      <c r="I132" s="134"/>
      <c r="J132" s="135"/>
      <c r="K132" s="134"/>
      <c r="L132" s="135"/>
      <c r="M132" s="135"/>
      <c r="N132" s="135"/>
      <c r="O132" s="135"/>
      <c r="Q132" s="135"/>
      <c r="R132" s="135"/>
      <c r="S132" s="48"/>
      <c r="T132" s="135"/>
      <c r="U132" s="151"/>
      <c r="V132" s="135"/>
      <c r="W132" s="151"/>
      <c r="X132" s="151"/>
      <c r="Y132" s="151"/>
      <c r="Z132" s="249"/>
      <c r="AA132" s="151"/>
      <c r="AB132" s="151"/>
      <c r="AC132" s="151"/>
      <c r="AD132" s="151"/>
      <c r="AE132" s="151"/>
      <c r="AF132" s="151"/>
      <c r="AG132" s="151"/>
      <c r="AH132" s="151"/>
      <c r="AI132" s="151"/>
      <c r="AJ132" s="151"/>
      <c r="AK132" s="151"/>
      <c r="AL132" s="151"/>
      <c r="AM132" s="151"/>
    </row>
    <row r="133" spans="1:39" x14ac:dyDescent="0.2">
      <c r="A133" s="21"/>
      <c r="B133" s="21"/>
      <c r="C133" s="21"/>
      <c r="D133" s="21"/>
      <c r="E133" s="21"/>
      <c r="F133" s="21"/>
      <c r="G133" s="21"/>
      <c r="H133" s="21"/>
      <c r="I133" s="134"/>
      <c r="J133" s="135"/>
      <c r="K133" s="134"/>
      <c r="L133" s="135"/>
      <c r="M133" s="135"/>
      <c r="N133" s="135"/>
      <c r="O133" s="135"/>
      <c r="Q133" s="135"/>
      <c r="R133" s="135"/>
      <c r="S133" s="48"/>
      <c r="T133" s="135"/>
      <c r="U133" s="151"/>
      <c r="V133" s="135"/>
      <c r="W133" s="151"/>
      <c r="X133" s="151"/>
      <c r="Y133" s="151"/>
      <c r="Z133" s="249"/>
      <c r="AA133" s="151"/>
      <c r="AB133" s="151"/>
      <c r="AC133" s="151"/>
      <c r="AD133" s="151"/>
      <c r="AE133" s="151"/>
      <c r="AF133" s="151"/>
      <c r="AG133" s="151"/>
      <c r="AH133" s="151"/>
      <c r="AI133" s="151"/>
      <c r="AJ133" s="151"/>
      <c r="AK133" s="151"/>
      <c r="AL133" s="151"/>
      <c r="AM133" s="151"/>
    </row>
    <row r="134" spans="1:39" x14ac:dyDescent="0.2">
      <c r="A134" s="21"/>
      <c r="B134" s="21"/>
      <c r="C134" s="21"/>
      <c r="D134" s="21"/>
      <c r="E134" s="21"/>
      <c r="F134" s="21"/>
      <c r="G134" s="21"/>
      <c r="H134" s="21"/>
      <c r="I134" s="134"/>
      <c r="J134" s="135"/>
      <c r="K134" s="134"/>
      <c r="L134" s="135"/>
      <c r="M134" s="135"/>
      <c r="N134" s="135"/>
      <c r="O134" s="135"/>
      <c r="Q134" s="135"/>
      <c r="R134" s="135"/>
      <c r="S134" s="48"/>
      <c r="T134" s="135"/>
      <c r="U134" s="151"/>
      <c r="V134" s="135"/>
      <c r="W134" s="151"/>
      <c r="X134" s="151"/>
      <c r="Y134" s="151"/>
      <c r="Z134" s="249"/>
      <c r="AA134" s="151"/>
      <c r="AB134" s="151"/>
      <c r="AC134" s="151"/>
      <c r="AD134" s="151"/>
      <c r="AE134" s="151"/>
      <c r="AF134" s="151"/>
      <c r="AG134" s="151"/>
      <c r="AH134" s="151"/>
      <c r="AI134" s="151"/>
      <c r="AJ134" s="151"/>
      <c r="AK134" s="151"/>
      <c r="AL134" s="151"/>
      <c r="AM134" s="151"/>
    </row>
    <row r="135" spans="1:39" x14ac:dyDescent="0.2">
      <c r="A135" s="21"/>
      <c r="B135" s="21"/>
      <c r="C135" s="21"/>
      <c r="D135" s="21"/>
      <c r="E135" s="21"/>
      <c r="F135" s="21"/>
      <c r="G135" s="21"/>
      <c r="H135" s="21"/>
      <c r="I135" s="134"/>
      <c r="J135" s="135"/>
      <c r="K135" s="134"/>
      <c r="L135" s="135"/>
      <c r="M135" s="135"/>
      <c r="N135" s="135"/>
      <c r="O135" s="135"/>
      <c r="Q135" s="135"/>
      <c r="R135" s="135"/>
      <c r="S135" s="48"/>
      <c r="T135" s="135"/>
      <c r="U135" s="151"/>
      <c r="V135" s="135"/>
      <c r="W135" s="151"/>
      <c r="X135" s="151"/>
      <c r="Y135" s="151"/>
      <c r="Z135" s="249"/>
      <c r="AA135" s="151"/>
      <c r="AB135" s="151"/>
      <c r="AC135" s="151"/>
      <c r="AD135" s="151"/>
      <c r="AE135" s="151"/>
      <c r="AF135" s="151"/>
      <c r="AG135" s="151"/>
      <c r="AH135" s="151"/>
      <c r="AI135" s="151"/>
      <c r="AJ135" s="151"/>
      <c r="AK135" s="151"/>
      <c r="AL135" s="151"/>
      <c r="AM135" s="151"/>
    </row>
    <row r="136" spans="1:39" x14ac:dyDescent="0.2">
      <c r="A136" s="21"/>
      <c r="B136" s="21"/>
      <c r="C136" s="21"/>
      <c r="D136" s="21"/>
      <c r="E136" s="21"/>
      <c r="F136" s="21"/>
      <c r="G136" s="21"/>
      <c r="H136" s="21"/>
      <c r="I136" s="134"/>
      <c r="J136" s="135"/>
      <c r="K136" s="134"/>
      <c r="L136" s="135"/>
      <c r="M136" s="135"/>
      <c r="N136" s="135"/>
      <c r="O136" s="135"/>
      <c r="Q136" s="135"/>
      <c r="R136" s="135"/>
      <c r="S136" s="48"/>
      <c r="T136" s="135"/>
      <c r="U136" s="151"/>
      <c r="V136" s="135"/>
      <c r="W136" s="151"/>
      <c r="X136" s="151"/>
      <c r="Y136" s="151"/>
      <c r="Z136" s="249"/>
      <c r="AA136" s="151"/>
      <c r="AB136" s="151"/>
      <c r="AC136" s="151"/>
      <c r="AD136" s="151"/>
      <c r="AE136" s="151"/>
      <c r="AF136" s="151"/>
      <c r="AG136" s="151"/>
      <c r="AH136" s="151"/>
      <c r="AI136" s="151"/>
      <c r="AJ136" s="151"/>
      <c r="AK136" s="151"/>
      <c r="AL136" s="151"/>
      <c r="AM136" s="151"/>
    </row>
    <row r="137" spans="1:39" x14ac:dyDescent="0.2">
      <c r="A137" s="21"/>
      <c r="B137" s="21"/>
      <c r="C137" s="21"/>
      <c r="D137" s="21"/>
      <c r="E137" s="21"/>
      <c r="F137" s="21"/>
      <c r="G137" s="21"/>
      <c r="H137" s="21"/>
      <c r="I137" s="134"/>
      <c r="J137" s="135"/>
      <c r="K137" s="134"/>
      <c r="L137" s="135"/>
      <c r="M137" s="135"/>
      <c r="N137" s="135"/>
      <c r="O137" s="135"/>
      <c r="Q137" s="135"/>
      <c r="R137" s="135"/>
      <c r="S137" s="48"/>
      <c r="T137" s="135"/>
      <c r="U137" s="151"/>
      <c r="V137" s="135"/>
      <c r="W137" s="151"/>
      <c r="X137" s="151"/>
      <c r="Y137" s="151"/>
      <c r="Z137" s="249"/>
      <c r="AA137" s="151"/>
      <c r="AB137" s="151"/>
      <c r="AC137" s="151"/>
      <c r="AD137" s="151"/>
      <c r="AE137" s="151"/>
      <c r="AF137" s="151"/>
      <c r="AG137" s="151"/>
      <c r="AH137" s="151"/>
      <c r="AI137" s="151"/>
      <c r="AJ137" s="151"/>
      <c r="AK137" s="151"/>
      <c r="AL137" s="151"/>
      <c r="AM137" s="151"/>
    </row>
    <row r="138" spans="1:39" x14ac:dyDescent="0.2">
      <c r="A138" s="21"/>
      <c r="B138" s="21"/>
      <c r="C138" s="21"/>
      <c r="D138" s="21"/>
      <c r="E138" s="21"/>
      <c r="F138" s="21"/>
      <c r="G138" s="21"/>
      <c r="H138" s="21"/>
      <c r="I138" s="134"/>
      <c r="J138" s="135"/>
      <c r="K138" s="134"/>
      <c r="L138" s="135"/>
      <c r="M138" s="135"/>
      <c r="N138" s="135"/>
      <c r="O138" s="135"/>
      <c r="Q138" s="135"/>
      <c r="R138" s="135"/>
      <c r="S138" s="48"/>
      <c r="T138" s="135"/>
      <c r="U138" s="151"/>
      <c r="V138" s="135"/>
      <c r="W138" s="151"/>
      <c r="X138" s="151"/>
      <c r="Y138" s="151"/>
      <c r="Z138" s="249"/>
      <c r="AA138" s="151"/>
      <c r="AB138" s="151"/>
      <c r="AC138" s="151"/>
      <c r="AD138" s="151"/>
      <c r="AE138" s="151"/>
      <c r="AF138" s="151"/>
      <c r="AG138" s="151"/>
      <c r="AH138" s="151"/>
      <c r="AI138" s="151"/>
      <c r="AJ138" s="151"/>
      <c r="AK138" s="151"/>
      <c r="AL138" s="151"/>
      <c r="AM138" s="151"/>
    </row>
    <row r="139" spans="1:39" x14ac:dyDescent="0.2">
      <c r="A139" s="21"/>
      <c r="B139" s="21"/>
      <c r="C139" s="21"/>
      <c r="D139" s="21"/>
      <c r="E139" s="21"/>
      <c r="F139" s="21"/>
      <c r="G139" s="21"/>
      <c r="H139" s="21"/>
      <c r="I139" s="134"/>
      <c r="J139" s="135"/>
      <c r="K139" s="134"/>
      <c r="L139" s="135"/>
      <c r="M139" s="135"/>
      <c r="N139" s="135"/>
      <c r="O139" s="135"/>
      <c r="Q139" s="135"/>
      <c r="R139" s="135"/>
      <c r="S139" s="48"/>
      <c r="T139" s="135"/>
      <c r="U139" s="151"/>
      <c r="V139" s="135"/>
      <c r="W139" s="151"/>
      <c r="X139" s="151"/>
      <c r="Y139" s="151"/>
      <c r="Z139" s="249"/>
      <c r="AA139" s="151"/>
      <c r="AB139" s="151"/>
      <c r="AC139" s="151"/>
      <c r="AD139" s="151"/>
      <c r="AE139" s="151"/>
      <c r="AF139" s="151"/>
      <c r="AG139" s="151"/>
      <c r="AH139" s="151"/>
      <c r="AI139" s="151"/>
      <c r="AJ139" s="151"/>
      <c r="AK139" s="151"/>
      <c r="AL139" s="151"/>
      <c r="AM139" s="151"/>
    </row>
    <row r="140" spans="1:39" x14ac:dyDescent="0.2">
      <c r="A140" s="21"/>
      <c r="B140" s="21"/>
      <c r="C140" s="21"/>
      <c r="D140" s="21"/>
      <c r="E140" s="21"/>
      <c r="F140" s="21"/>
      <c r="G140" s="21"/>
      <c r="H140" s="21"/>
      <c r="I140" s="134"/>
      <c r="J140" s="135"/>
      <c r="K140" s="134"/>
      <c r="L140" s="135"/>
      <c r="M140" s="135"/>
      <c r="N140" s="135"/>
      <c r="O140" s="135"/>
      <c r="Q140" s="135"/>
      <c r="R140" s="135"/>
      <c r="S140" s="48"/>
      <c r="T140" s="135"/>
      <c r="U140" s="151"/>
      <c r="V140" s="135"/>
      <c r="W140" s="151"/>
      <c r="X140" s="151"/>
      <c r="Y140" s="151"/>
      <c r="Z140" s="249"/>
      <c r="AA140" s="151"/>
      <c r="AB140" s="151"/>
      <c r="AC140" s="151"/>
      <c r="AD140" s="151"/>
      <c r="AE140" s="151"/>
      <c r="AF140" s="151"/>
      <c r="AG140" s="151"/>
      <c r="AH140" s="151"/>
      <c r="AI140" s="151"/>
      <c r="AJ140" s="151"/>
      <c r="AK140" s="151"/>
      <c r="AL140" s="151"/>
      <c r="AM140" s="151"/>
    </row>
    <row r="141" spans="1:39" x14ac:dyDescent="0.2">
      <c r="A141" s="21"/>
      <c r="B141" s="21"/>
      <c r="C141" s="21"/>
      <c r="D141" s="21"/>
      <c r="E141" s="21"/>
      <c r="F141" s="21"/>
      <c r="G141" s="21"/>
      <c r="H141" s="21"/>
      <c r="I141" s="134"/>
      <c r="J141" s="135"/>
      <c r="K141" s="134"/>
      <c r="L141" s="135"/>
      <c r="M141" s="135"/>
      <c r="N141" s="135"/>
      <c r="O141" s="135"/>
      <c r="Q141" s="135"/>
      <c r="R141" s="135"/>
      <c r="S141" s="48"/>
      <c r="T141" s="135"/>
      <c r="U141" s="151"/>
      <c r="V141" s="135"/>
      <c r="W141" s="151"/>
      <c r="X141" s="151"/>
      <c r="Y141" s="151"/>
      <c r="Z141" s="249"/>
      <c r="AA141" s="151"/>
      <c r="AB141" s="151"/>
      <c r="AC141" s="151"/>
      <c r="AD141" s="151"/>
      <c r="AE141" s="151"/>
      <c r="AF141" s="151"/>
      <c r="AG141" s="151"/>
      <c r="AH141" s="151"/>
      <c r="AI141" s="151"/>
      <c r="AJ141" s="151"/>
      <c r="AK141" s="151"/>
      <c r="AL141" s="151"/>
      <c r="AM141" s="151"/>
    </row>
    <row r="142" spans="1:39" x14ac:dyDescent="0.2">
      <c r="A142" s="21"/>
      <c r="B142" s="21"/>
      <c r="C142" s="21"/>
      <c r="D142" s="21"/>
      <c r="E142" s="21"/>
      <c r="F142" s="21"/>
      <c r="G142" s="21"/>
      <c r="H142" s="21"/>
      <c r="I142" s="134"/>
      <c r="J142" s="135"/>
      <c r="K142" s="134"/>
      <c r="L142" s="135"/>
      <c r="M142" s="135"/>
      <c r="N142" s="135"/>
      <c r="O142" s="135"/>
      <c r="Q142" s="135"/>
      <c r="R142" s="135"/>
      <c r="S142" s="48"/>
      <c r="T142" s="135"/>
      <c r="U142" s="151"/>
      <c r="V142" s="135"/>
      <c r="W142" s="151"/>
      <c r="X142" s="151"/>
      <c r="Y142" s="151"/>
      <c r="Z142" s="249"/>
      <c r="AA142" s="151"/>
      <c r="AB142" s="151"/>
      <c r="AC142" s="151"/>
      <c r="AD142" s="151"/>
      <c r="AE142" s="151"/>
      <c r="AF142" s="151"/>
      <c r="AG142" s="151"/>
      <c r="AH142" s="151"/>
      <c r="AI142" s="151"/>
      <c r="AJ142" s="151"/>
      <c r="AK142" s="151"/>
      <c r="AL142" s="151"/>
      <c r="AM142" s="151"/>
    </row>
    <row r="143" spans="1:39" x14ac:dyDescent="0.2">
      <c r="A143" s="21"/>
      <c r="B143" s="21"/>
      <c r="C143" s="21"/>
      <c r="D143" s="21"/>
      <c r="E143" s="21"/>
      <c r="F143" s="21"/>
      <c r="G143" s="21"/>
      <c r="H143" s="21"/>
      <c r="I143" s="134"/>
      <c r="J143" s="135"/>
      <c r="K143" s="134"/>
      <c r="L143" s="135"/>
      <c r="M143" s="135"/>
      <c r="N143" s="135"/>
      <c r="O143" s="135"/>
      <c r="Q143" s="135"/>
      <c r="R143" s="135"/>
      <c r="S143" s="48"/>
      <c r="T143" s="135"/>
      <c r="U143" s="151"/>
      <c r="V143" s="135"/>
      <c r="W143" s="151"/>
      <c r="X143" s="151"/>
      <c r="Y143" s="151"/>
      <c r="Z143" s="249"/>
      <c r="AA143" s="151"/>
      <c r="AB143" s="151"/>
      <c r="AC143" s="151"/>
      <c r="AD143" s="151"/>
      <c r="AE143" s="151"/>
      <c r="AF143" s="151"/>
      <c r="AG143" s="151"/>
      <c r="AH143" s="151"/>
      <c r="AI143" s="151"/>
      <c r="AJ143" s="151"/>
      <c r="AK143" s="151"/>
      <c r="AL143" s="151"/>
      <c r="AM143" s="151"/>
    </row>
    <row r="144" spans="1:39" x14ac:dyDescent="0.2">
      <c r="A144" s="21"/>
      <c r="B144" s="21"/>
      <c r="C144" s="21"/>
      <c r="D144" s="21"/>
      <c r="E144" s="21"/>
      <c r="F144" s="21"/>
      <c r="G144" s="21"/>
      <c r="H144" s="21"/>
      <c r="I144" s="134"/>
      <c r="J144" s="135"/>
      <c r="K144" s="134"/>
      <c r="L144" s="135"/>
      <c r="M144" s="135"/>
      <c r="N144" s="135"/>
      <c r="O144" s="135"/>
      <c r="Q144" s="135"/>
      <c r="R144" s="135"/>
      <c r="S144" s="48"/>
      <c r="T144" s="135"/>
      <c r="U144" s="151"/>
      <c r="V144" s="135"/>
      <c r="W144" s="151"/>
      <c r="X144" s="151"/>
      <c r="Y144" s="151"/>
      <c r="Z144" s="249"/>
      <c r="AA144" s="151"/>
      <c r="AB144" s="151"/>
      <c r="AC144" s="151"/>
      <c r="AD144" s="151"/>
      <c r="AE144" s="151"/>
      <c r="AF144" s="151"/>
      <c r="AG144" s="151"/>
      <c r="AH144" s="151"/>
      <c r="AI144" s="151"/>
      <c r="AJ144" s="151"/>
      <c r="AK144" s="151"/>
      <c r="AL144" s="151"/>
      <c r="AM144" s="151"/>
    </row>
    <row r="145" spans="1:39" x14ac:dyDescent="0.2">
      <c r="A145" s="21"/>
      <c r="B145" s="21"/>
      <c r="C145" s="21"/>
      <c r="D145" s="21"/>
      <c r="E145" s="21"/>
      <c r="F145" s="21"/>
      <c r="G145" s="21"/>
      <c r="H145" s="21"/>
      <c r="I145" s="134"/>
      <c r="J145" s="135"/>
      <c r="K145" s="134"/>
      <c r="L145" s="135"/>
      <c r="M145" s="135"/>
      <c r="N145" s="135"/>
      <c r="O145" s="135"/>
      <c r="Q145" s="135"/>
      <c r="R145" s="135"/>
      <c r="S145" s="48"/>
      <c r="T145" s="135"/>
      <c r="U145" s="151"/>
      <c r="V145" s="135"/>
      <c r="W145" s="151"/>
      <c r="X145" s="151"/>
      <c r="Y145" s="151"/>
      <c r="Z145" s="249"/>
      <c r="AA145" s="151"/>
      <c r="AB145" s="151"/>
      <c r="AC145" s="151"/>
      <c r="AD145" s="151"/>
      <c r="AE145" s="151"/>
      <c r="AF145" s="151"/>
      <c r="AG145" s="151"/>
      <c r="AH145" s="151"/>
      <c r="AI145" s="151"/>
      <c r="AJ145" s="151"/>
      <c r="AK145" s="151"/>
      <c r="AL145" s="151"/>
      <c r="AM145" s="151"/>
    </row>
    <row r="146" spans="1:39" x14ac:dyDescent="0.2">
      <c r="A146" s="21"/>
      <c r="B146" s="21"/>
      <c r="C146" s="21"/>
      <c r="D146" s="21"/>
      <c r="E146" s="21"/>
      <c r="F146" s="21"/>
      <c r="G146" s="21"/>
      <c r="H146" s="21"/>
      <c r="I146" s="134"/>
      <c r="J146" s="135"/>
      <c r="K146" s="134"/>
      <c r="L146" s="135"/>
      <c r="M146" s="135"/>
      <c r="N146" s="135"/>
      <c r="O146" s="135"/>
      <c r="Q146" s="135"/>
      <c r="R146" s="135"/>
      <c r="S146" s="48"/>
      <c r="T146" s="135"/>
      <c r="U146" s="151"/>
      <c r="V146" s="135"/>
      <c r="W146" s="151"/>
      <c r="X146" s="151"/>
      <c r="Y146" s="151"/>
      <c r="Z146" s="249"/>
      <c r="AA146" s="151"/>
      <c r="AB146" s="151"/>
      <c r="AC146" s="151"/>
      <c r="AD146" s="151"/>
      <c r="AE146" s="151"/>
      <c r="AF146" s="151"/>
      <c r="AG146" s="151"/>
      <c r="AH146" s="151"/>
      <c r="AI146" s="151"/>
      <c r="AJ146" s="151"/>
      <c r="AK146" s="151"/>
      <c r="AL146" s="151"/>
      <c r="AM146" s="151"/>
    </row>
    <row r="147" spans="1:39" x14ac:dyDescent="0.2">
      <c r="A147" s="21"/>
      <c r="B147" s="21"/>
      <c r="C147" s="21"/>
      <c r="D147" s="21"/>
      <c r="E147" s="21"/>
      <c r="F147" s="21"/>
      <c r="G147" s="21"/>
      <c r="H147" s="21"/>
      <c r="I147" s="134"/>
      <c r="J147" s="135"/>
      <c r="K147" s="134"/>
      <c r="L147" s="135"/>
      <c r="M147" s="135"/>
      <c r="N147" s="135"/>
      <c r="O147" s="135"/>
      <c r="Q147" s="135"/>
      <c r="R147" s="135"/>
      <c r="S147" s="48"/>
      <c r="T147" s="135"/>
      <c r="U147" s="151"/>
      <c r="V147" s="135"/>
      <c r="W147" s="151"/>
      <c r="X147" s="151"/>
      <c r="Y147" s="151"/>
      <c r="Z147" s="249"/>
      <c r="AA147" s="151"/>
      <c r="AB147" s="151"/>
      <c r="AC147" s="151"/>
      <c r="AD147" s="151"/>
      <c r="AE147" s="151"/>
      <c r="AF147" s="151"/>
      <c r="AG147" s="151"/>
      <c r="AH147" s="151"/>
      <c r="AI147" s="151"/>
      <c r="AJ147" s="151"/>
      <c r="AK147" s="151"/>
      <c r="AL147" s="151"/>
      <c r="AM147" s="151"/>
    </row>
    <row r="148" spans="1:39" x14ac:dyDescent="0.2">
      <c r="A148" s="21"/>
      <c r="B148" s="21"/>
      <c r="C148" s="21"/>
      <c r="D148" s="21"/>
      <c r="E148" s="21"/>
      <c r="F148" s="21"/>
      <c r="G148" s="21"/>
      <c r="H148" s="21"/>
      <c r="I148" s="134"/>
      <c r="J148" s="135"/>
      <c r="K148" s="134"/>
      <c r="L148" s="135"/>
      <c r="M148" s="135"/>
      <c r="N148" s="135"/>
      <c r="O148" s="135"/>
      <c r="Q148" s="135"/>
      <c r="R148" s="135"/>
      <c r="S148" s="48"/>
      <c r="T148" s="135"/>
      <c r="U148" s="151"/>
      <c r="V148" s="135"/>
      <c r="W148" s="151"/>
      <c r="X148" s="151"/>
      <c r="Y148" s="151"/>
      <c r="Z148" s="249"/>
      <c r="AA148" s="151"/>
      <c r="AB148" s="151"/>
      <c r="AC148" s="151"/>
      <c r="AD148" s="151"/>
      <c r="AE148" s="151"/>
      <c r="AF148" s="151"/>
      <c r="AG148" s="151"/>
      <c r="AH148" s="151"/>
      <c r="AI148" s="151"/>
      <c r="AJ148" s="151"/>
      <c r="AK148" s="151"/>
      <c r="AL148" s="151"/>
      <c r="AM148" s="151"/>
    </row>
    <row r="149" spans="1:39" x14ac:dyDescent="0.2">
      <c r="A149" s="21"/>
      <c r="B149" s="21"/>
      <c r="C149" s="21"/>
      <c r="D149" s="21"/>
      <c r="E149" s="21"/>
      <c r="F149" s="21"/>
      <c r="G149" s="21"/>
      <c r="H149" s="21"/>
      <c r="I149" s="134"/>
      <c r="J149" s="135"/>
      <c r="K149" s="134"/>
      <c r="L149" s="135"/>
      <c r="M149" s="135"/>
      <c r="N149" s="135"/>
      <c r="O149" s="135"/>
      <c r="Q149" s="135"/>
      <c r="R149" s="135"/>
      <c r="S149" s="48"/>
      <c r="T149" s="135"/>
      <c r="U149" s="151"/>
      <c r="V149" s="135"/>
      <c r="W149" s="151"/>
      <c r="X149" s="151"/>
      <c r="Y149" s="151"/>
      <c r="Z149" s="249"/>
      <c r="AA149" s="151"/>
      <c r="AB149" s="151"/>
      <c r="AC149" s="151"/>
      <c r="AD149" s="151"/>
      <c r="AE149" s="151"/>
      <c r="AF149" s="151"/>
      <c r="AG149" s="151"/>
      <c r="AH149" s="151"/>
      <c r="AI149" s="151"/>
      <c r="AJ149" s="151"/>
      <c r="AK149" s="151"/>
      <c r="AL149" s="151"/>
      <c r="AM149" s="151"/>
    </row>
    <row r="150" spans="1:39" x14ac:dyDescent="0.2">
      <c r="A150" s="21"/>
      <c r="B150" s="21"/>
      <c r="C150" s="21"/>
      <c r="D150" s="21"/>
      <c r="E150" s="21"/>
      <c r="F150" s="21"/>
      <c r="G150" s="21"/>
      <c r="H150" s="21"/>
      <c r="I150" s="134"/>
      <c r="J150" s="135"/>
      <c r="K150" s="134"/>
      <c r="L150" s="135"/>
      <c r="M150" s="135"/>
      <c r="N150" s="135"/>
      <c r="O150" s="135"/>
      <c r="Q150" s="135"/>
      <c r="R150" s="135"/>
      <c r="S150" s="48"/>
      <c r="T150" s="135"/>
      <c r="U150" s="151"/>
      <c r="V150" s="135"/>
      <c r="W150" s="151"/>
      <c r="X150" s="151"/>
      <c r="Y150" s="151"/>
      <c r="Z150" s="249"/>
      <c r="AA150" s="151"/>
      <c r="AB150" s="151"/>
      <c r="AC150" s="151"/>
      <c r="AD150" s="151"/>
      <c r="AE150" s="151"/>
      <c r="AF150" s="151"/>
      <c r="AG150" s="151"/>
      <c r="AH150" s="151"/>
      <c r="AI150" s="151"/>
      <c r="AJ150" s="151"/>
      <c r="AK150" s="151"/>
      <c r="AL150" s="151"/>
      <c r="AM150" s="151"/>
    </row>
    <row r="151" spans="1:39" x14ac:dyDescent="0.2">
      <c r="A151" s="21"/>
      <c r="B151" s="21"/>
      <c r="C151" s="21"/>
      <c r="D151" s="21"/>
      <c r="E151" s="21"/>
      <c r="F151" s="21"/>
      <c r="G151" s="21"/>
      <c r="H151" s="21"/>
      <c r="I151" s="134"/>
      <c r="J151" s="135"/>
      <c r="K151" s="134"/>
      <c r="L151" s="135"/>
      <c r="M151" s="135"/>
      <c r="N151" s="135"/>
      <c r="O151" s="135"/>
      <c r="Q151" s="135"/>
      <c r="R151" s="135"/>
      <c r="S151" s="48"/>
      <c r="T151" s="135"/>
      <c r="U151" s="151"/>
      <c r="V151" s="135"/>
      <c r="W151" s="151"/>
      <c r="X151" s="151"/>
      <c r="Y151" s="151"/>
      <c r="Z151" s="249"/>
      <c r="AA151" s="151"/>
      <c r="AB151" s="151"/>
      <c r="AC151" s="151"/>
      <c r="AD151" s="151"/>
      <c r="AE151" s="151"/>
      <c r="AF151" s="151"/>
      <c r="AG151" s="151"/>
      <c r="AH151" s="151"/>
      <c r="AI151" s="151"/>
      <c r="AJ151" s="151"/>
      <c r="AK151" s="151"/>
      <c r="AL151" s="151"/>
      <c r="AM151" s="151"/>
    </row>
    <row r="152" spans="1:39" x14ac:dyDescent="0.2">
      <c r="A152" s="21"/>
      <c r="B152" s="21"/>
      <c r="C152" s="21"/>
      <c r="D152" s="21"/>
      <c r="E152" s="21"/>
      <c r="F152" s="21"/>
      <c r="G152" s="21"/>
      <c r="H152" s="21"/>
      <c r="I152" s="134"/>
      <c r="J152" s="135"/>
      <c r="K152" s="134"/>
      <c r="L152" s="135"/>
      <c r="M152" s="135"/>
      <c r="N152" s="135"/>
      <c r="O152" s="135"/>
      <c r="Q152" s="135"/>
      <c r="R152" s="135"/>
      <c r="S152" s="48"/>
      <c r="T152" s="135"/>
      <c r="U152" s="151"/>
      <c r="V152" s="135"/>
      <c r="W152" s="151"/>
      <c r="X152" s="151"/>
      <c r="Y152" s="151"/>
      <c r="Z152" s="249"/>
      <c r="AA152" s="151"/>
      <c r="AB152" s="151"/>
      <c r="AC152" s="151"/>
      <c r="AD152" s="151"/>
      <c r="AE152" s="151"/>
      <c r="AF152" s="151"/>
      <c r="AG152" s="151"/>
      <c r="AH152" s="151"/>
      <c r="AI152" s="151"/>
      <c r="AJ152" s="151"/>
      <c r="AK152" s="151"/>
      <c r="AL152" s="151"/>
      <c r="AM152" s="151"/>
    </row>
    <row r="153" spans="1:39" x14ac:dyDescent="0.2">
      <c r="A153" s="21"/>
      <c r="B153" s="21"/>
      <c r="C153" s="21"/>
      <c r="D153" s="21"/>
      <c r="E153" s="21"/>
      <c r="F153" s="21"/>
      <c r="G153" s="21"/>
      <c r="H153" s="21"/>
      <c r="I153" s="134"/>
      <c r="J153" s="135"/>
      <c r="K153" s="134"/>
      <c r="L153" s="135"/>
      <c r="M153" s="135"/>
      <c r="N153" s="135"/>
      <c r="O153" s="135"/>
      <c r="Q153" s="135"/>
      <c r="R153" s="135"/>
      <c r="S153" s="48"/>
      <c r="T153" s="135"/>
      <c r="U153" s="151"/>
      <c r="V153" s="135"/>
      <c r="W153" s="151"/>
      <c r="X153" s="151"/>
      <c r="Y153" s="151"/>
      <c r="Z153" s="249"/>
      <c r="AA153" s="151"/>
      <c r="AB153" s="151"/>
      <c r="AC153" s="151"/>
      <c r="AD153" s="151"/>
      <c r="AE153" s="151"/>
      <c r="AF153" s="151"/>
      <c r="AG153" s="151"/>
      <c r="AH153" s="151"/>
      <c r="AI153" s="151"/>
      <c r="AJ153" s="151"/>
      <c r="AK153" s="151"/>
      <c r="AL153" s="151"/>
      <c r="AM153" s="151"/>
    </row>
    <row r="154" spans="1:39" x14ac:dyDescent="0.2">
      <c r="A154" s="21"/>
      <c r="B154" s="21"/>
      <c r="C154" s="21"/>
      <c r="D154" s="21"/>
      <c r="E154" s="21"/>
      <c r="F154" s="21"/>
      <c r="G154" s="21"/>
      <c r="H154" s="21"/>
      <c r="I154" s="134"/>
      <c r="J154" s="135"/>
      <c r="K154" s="134"/>
      <c r="L154" s="135"/>
      <c r="M154" s="135"/>
      <c r="N154" s="135"/>
      <c r="O154" s="135"/>
      <c r="Q154" s="135"/>
      <c r="R154" s="135"/>
      <c r="S154" s="48"/>
      <c r="T154" s="135"/>
      <c r="U154" s="151"/>
      <c r="V154" s="135"/>
      <c r="W154" s="151"/>
      <c r="X154" s="151"/>
      <c r="Y154" s="151"/>
      <c r="Z154" s="249"/>
      <c r="AA154" s="151"/>
      <c r="AB154" s="151"/>
      <c r="AC154" s="151"/>
      <c r="AD154" s="151"/>
      <c r="AE154" s="151"/>
      <c r="AF154" s="151"/>
      <c r="AG154" s="151"/>
      <c r="AH154" s="151"/>
      <c r="AI154" s="151"/>
      <c r="AJ154" s="151"/>
      <c r="AK154" s="151"/>
      <c r="AL154" s="151"/>
      <c r="AM154" s="151"/>
    </row>
    <row r="155" spans="1:39" x14ac:dyDescent="0.2">
      <c r="A155" s="21"/>
      <c r="B155" s="21"/>
      <c r="C155" s="21"/>
      <c r="D155" s="21"/>
      <c r="E155" s="21"/>
      <c r="F155" s="21"/>
      <c r="G155" s="21"/>
      <c r="H155" s="21"/>
      <c r="I155" s="134"/>
      <c r="J155" s="135"/>
      <c r="K155" s="134"/>
      <c r="L155" s="135"/>
      <c r="M155" s="135"/>
      <c r="N155" s="135"/>
      <c r="O155" s="135"/>
      <c r="Q155" s="135"/>
      <c r="R155" s="135"/>
      <c r="S155" s="48"/>
      <c r="T155" s="135"/>
      <c r="U155" s="151"/>
      <c r="V155" s="135"/>
      <c r="W155" s="151"/>
      <c r="X155" s="151"/>
      <c r="Y155" s="151"/>
      <c r="Z155" s="249"/>
      <c r="AA155" s="151"/>
      <c r="AB155" s="151"/>
      <c r="AC155" s="151"/>
      <c r="AD155" s="151"/>
      <c r="AE155" s="151"/>
      <c r="AF155" s="151"/>
      <c r="AG155" s="151"/>
      <c r="AH155" s="151"/>
      <c r="AI155" s="151"/>
      <c r="AJ155" s="151"/>
      <c r="AK155" s="151"/>
      <c r="AL155" s="151"/>
      <c r="AM155" s="151"/>
    </row>
    <row r="156" spans="1:39" x14ac:dyDescent="0.2">
      <c r="A156" s="21"/>
      <c r="B156" s="21"/>
      <c r="C156" s="21"/>
      <c r="D156" s="21"/>
      <c r="E156" s="21"/>
      <c r="F156" s="21"/>
      <c r="G156" s="21"/>
      <c r="H156" s="21"/>
      <c r="I156" s="134"/>
      <c r="J156" s="135"/>
      <c r="K156" s="134"/>
      <c r="L156" s="135"/>
      <c r="M156" s="135"/>
      <c r="N156" s="135"/>
      <c r="O156" s="135"/>
      <c r="Q156" s="135"/>
      <c r="R156" s="135"/>
      <c r="S156" s="48"/>
      <c r="T156" s="135"/>
      <c r="U156" s="151"/>
      <c r="V156" s="135"/>
      <c r="W156" s="151"/>
      <c r="X156" s="151"/>
      <c r="Y156" s="151"/>
      <c r="Z156" s="249"/>
      <c r="AA156" s="151"/>
      <c r="AB156" s="151"/>
      <c r="AC156" s="151"/>
      <c r="AD156" s="151"/>
      <c r="AE156" s="151"/>
      <c r="AF156" s="151"/>
      <c r="AG156" s="151"/>
      <c r="AH156" s="151"/>
      <c r="AI156" s="151"/>
      <c r="AJ156" s="151"/>
      <c r="AK156" s="151"/>
      <c r="AL156" s="151"/>
      <c r="AM156" s="151"/>
    </row>
    <row r="157" spans="1:39" x14ac:dyDescent="0.2">
      <c r="A157" s="21"/>
      <c r="B157" s="21"/>
      <c r="C157" s="21"/>
      <c r="D157" s="21"/>
      <c r="E157" s="21"/>
      <c r="F157" s="21"/>
      <c r="G157" s="21"/>
      <c r="H157" s="21"/>
      <c r="I157" s="134"/>
      <c r="J157" s="135"/>
      <c r="K157" s="134"/>
      <c r="L157" s="135"/>
      <c r="M157" s="135"/>
      <c r="N157" s="135"/>
      <c r="O157" s="135"/>
      <c r="Q157" s="135"/>
      <c r="R157" s="135"/>
      <c r="S157" s="48"/>
      <c r="T157" s="135"/>
      <c r="U157" s="151"/>
      <c r="V157" s="135"/>
      <c r="W157" s="151"/>
      <c r="X157" s="151"/>
      <c r="Y157" s="151"/>
      <c r="Z157" s="249"/>
      <c r="AA157" s="151"/>
      <c r="AB157" s="151"/>
      <c r="AC157" s="151"/>
      <c r="AD157" s="151"/>
      <c r="AE157" s="151"/>
      <c r="AF157" s="151"/>
      <c r="AG157" s="151"/>
      <c r="AH157" s="151"/>
      <c r="AI157" s="151"/>
      <c r="AJ157" s="151"/>
      <c r="AK157" s="151"/>
      <c r="AL157" s="151"/>
      <c r="AM157" s="151"/>
    </row>
    <row r="158" spans="1:39" x14ac:dyDescent="0.2">
      <c r="A158" s="21"/>
      <c r="B158" s="21"/>
      <c r="C158" s="21"/>
      <c r="D158" s="21"/>
      <c r="E158" s="21"/>
      <c r="F158" s="21"/>
      <c r="G158" s="21"/>
      <c r="H158" s="21"/>
      <c r="I158" s="134"/>
      <c r="J158" s="135"/>
      <c r="K158" s="134"/>
      <c r="L158" s="135"/>
      <c r="M158" s="135"/>
      <c r="N158" s="135"/>
      <c r="O158" s="135"/>
      <c r="Q158" s="135"/>
      <c r="R158" s="135"/>
      <c r="S158" s="48"/>
      <c r="T158" s="135"/>
      <c r="U158" s="151"/>
      <c r="V158" s="135"/>
      <c r="W158" s="151"/>
      <c r="X158" s="151"/>
      <c r="Y158" s="151"/>
      <c r="Z158" s="249"/>
      <c r="AA158" s="151"/>
      <c r="AB158" s="151"/>
      <c r="AC158" s="151"/>
      <c r="AD158" s="151"/>
      <c r="AE158" s="151"/>
      <c r="AF158" s="151"/>
      <c r="AG158" s="151"/>
      <c r="AH158" s="151"/>
      <c r="AI158" s="151"/>
      <c r="AJ158" s="151"/>
      <c r="AK158" s="151"/>
      <c r="AL158" s="151"/>
      <c r="AM158" s="151"/>
    </row>
    <row r="159" spans="1:39" x14ac:dyDescent="0.2">
      <c r="A159" s="21"/>
      <c r="B159" s="21"/>
      <c r="C159" s="21"/>
      <c r="D159" s="21"/>
      <c r="E159" s="21"/>
      <c r="F159" s="21"/>
      <c r="G159" s="21"/>
      <c r="H159" s="21"/>
      <c r="I159" s="134"/>
      <c r="J159" s="135"/>
      <c r="K159" s="134"/>
      <c r="L159" s="135"/>
      <c r="M159" s="135"/>
      <c r="N159" s="135"/>
      <c r="O159" s="135"/>
      <c r="Q159" s="135"/>
      <c r="R159" s="135"/>
      <c r="S159" s="48"/>
      <c r="T159" s="135"/>
      <c r="U159" s="151"/>
      <c r="V159" s="135"/>
      <c r="W159" s="151"/>
      <c r="X159" s="151"/>
      <c r="Y159" s="151"/>
      <c r="Z159" s="249"/>
      <c r="AA159" s="151"/>
      <c r="AB159" s="151"/>
      <c r="AC159" s="151"/>
      <c r="AD159" s="151"/>
      <c r="AE159" s="151"/>
      <c r="AF159" s="151"/>
      <c r="AG159" s="151"/>
      <c r="AH159" s="151"/>
      <c r="AI159" s="151"/>
      <c r="AJ159" s="151"/>
      <c r="AK159" s="151"/>
      <c r="AL159" s="151"/>
      <c r="AM159" s="151"/>
    </row>
    <row r="160" spans="1:39" x14ac:dyDescent="0.2">
      <c r="A160" s="21"/>
      <c r="B160" s="21"/>
      <c r="C160" s="21"/>
      <c r="D160" s="21"/>
      <c r="E160" s="21"/>
      <c r="F160" s="21"/>
      <c r="G160" s="21"/>
      <c r="H160" s="21"/>
      <c r="I160" s="134"/>
      <c r="J160" s="135"/>
      <c r="K160" s="134"/>
      <c r="L160" s="135"/>
      <c r="M160" s="135"/>
      <c r="N160" s="135"/>
      <c r="O160" s="135"/>
      <c r="Q160" s="135"/>
      <c r="R160" s="135"/>
      <c r="S160" s="48"/>
      <c r="T160" s="135"/>
      <c r="U160" s="151"/>
      <c r="V160" s="135"/>
      <c r="W160" s="151"/>
      <c r="X160" s="151"/>
      <c r="Y160" s="151"/>
      <c r="Z160" s="249"/>
      <c r="AA160" s="151"/>
      <c r="AB160" s="151"/>
      <c r="AC160" s="151"/>
      <c r="AD160" s="151"/>
      <c r="AE160" s="151"/>
      <c r="AF160" s="151"/>
      <c r="AG160" s="151"/>
      <c r="AH160" s="151"/>
      <c r="AI160" s="151"/>
      <c r="AJ160" s="151"/>
      <c r="AK160" s="151"/>
      <c r="AL160" s="151"/>
      <c r="AM160" s="151"/>
    </row>
    <row r="161" spans="1:39" x14ac:dyDescent="0.2">
      <c r="A161" s="21"/>
      <c r="B161" s="21"/>
      <c r="C161" s="21"/>
      <c r="D161" s="21"/>
      <c r="E161" s="21"/>
      <c r="F161" s="21"/>
      <c r="G161" s="21"/>
      <c r="H161" s="21"/>
      <c r="I161" s="134"/>
      <c r="J161" s="135"/>
      <c r="K161" s="134"/>
      <c r="L161" s="135"/>
      <c r="M161" s="135"/>
      <c r="N161" s="135"/>
      <c r="O161" s="135"/>
      <c r="Q161" s="135"/>
      <c r="R161" s="135"/>
      <c r="S161" s="48"/>
      <c r="T161" s="135"/>
      <c r="U161" s="151"/>
      <c r="V161" s="135"/>
      <c r="W161" s="151"/>
      <c r="X161" s="151"/>
      <c r="Y161" s="151"/>
      <c r="Z161" s="249"/>
      <c r="AA161" s="151"/>
      <c r="AB161" s="151"/>
      <c r="AC161" s="151"/>
      <c r="AD161" s="151"/>
      <c r="AE161" s="151"/>
      <c r="AF161" s="151"/>
      <c r="AG161" s="151"/>
      <c r="AH161" s="151"/>
      <c r="AI161" s="151"/>
      <c r="AJ161" s="151"/>
      <c r="AK161" s="151"/>
      <c r="AL161" s="151"/>
      <c r="AM161" s="151"/>
    </row>
    <row r="162" spans="1:39" x14ac:dyDescent="0.2">
      <c r="A162" s="21"/>
      <c r="B162" s="21"/>
      <c r="C162" s="21"/>
      <c r="D162" s="21"/>
      <c r="E162" s="21"/>
      <c r="F162" s="21"/>
      <c r="G162" s="21"/>
      <c r="H162" s="21"/>
      <c r="I162" s="134"/>
      <c r="J162" s="135"/>
      <c r="K162" s="134"/>
      <c r="L162" s="135"/>
      <c r="M162" s="135"/>
      <c r="N162" s="135"/>
      <c r="O162" s="135"/>
      <c r="Q162" s="135"/>
      <c r="R162" s="135"/>
      <c r="S162" s="48"/>
      <c r="T162" s="135"/>
      <c r="U162" s="151"/>
      <c r="V162" s="135"/>
      <c r="W162" s="151"/>
      <c r="X162" s="151"/>
      <c r="Y162" s="151"/>
      <c r="Z162" s="249"/>
      <c r="AA162" s="151"/>
      <c r="AB162" s="151"/>
      <c r="AC162" s="151"/>
      <c r="AD162" s="151"/>
      <c r="AE162" s="151"/>
      <c r="AF162" s="151"/>
      <c r="AG162" s="151"/>
      <c r="AH162" s="151"/>
      <c r="AI162" s="151"/>
      <c r="AJ162" s="151"/>
      <c r="AK162" s="151"/>
      <c r="AL162" s="151"/>
      <c r="AM162" s="151"/>
    </row>
    <row r="163" spans="1:39" x14ac:dyDescent="0.2">
      <c r="A163" s="21"/>
      <c r="B163" s="21"/>
      <c r="C163" s="21"/>
      <c r="D163" s="21"/>
      <c r="E163" s="21"/>
      <c r="F163" s="21"/>
      <c r="G163" s="21"/>
      <c r="H163" s="21"/>
      <c r="I163" s="134"/>
      <c r="J163" s="135"/>
      <c r="K163" s="134"/>
      <c r="L163" s="135"/>
      <c r="M163" s="135"/>
      <c r="N163" s="135"/>
      <c r="O163" s="135"/>
      <c r="Q163" s="135"/>
      <c r="R163" s="135"/>
      <c r="S163" s="48"/>
      <c r="T163" s="135"/>
      <c r="U163" s="151"/>
      <c r="V163" s="135"/>
      <c r="W163" s="151"/>
      <c r="X163" s="151"/>
      <c r="Y163" s="151"/>
      <c r="Z163" s="249"/>
      <c r="AA163" s="151"/>
      <c r="AB163" s="151"/>
      <c r="AC163" s="151"/>
      <c r="AD163" s="151"/>
      <c r="AE163" s="151"/>
      <c r="AF163" s="151"/>
      <c r="AG163" s="151"/>
      <c r="AH163" s="151"/>
      <c r="AI163" s="151"/>
      <c r="AJ163" s="151"/>
      <c r="AK163" s="151"/>
      <c r="AL163" s="151"/>
      <c r="AM163" s="151"/>
    </row>
    <row r="164" spans="1:39" x14ac:dyDescent="0.2">
      <c r="A164" s="21"/>
      <c r="B164" s="21"/>
      <c r="C164" s="21"/>
      <c r="D164" s="21"/>
      <c r="E164" s="21"/>
      <c r="F164" s="21"/>
      <c r="G164" s="21"/>
      <c r="H164" s="21"/>
      <c r="I164" s="134"/>
      <c r="J164" s="135"/>
      <c r="K164" s="134"/>
      <c r="L164" s="135"/>
      <c r="M164" s="135"/>
      <c r="N164" s="135"/>
      <c r="O164" s="135"/>
      <c r="Q164" s="135"/>
      <c r="R164" s="135"/>
      <c r="S164" s="48"/>
      <c r="T164" s="135"/>
      <c r="U164" s="151"/>
      <c r="V164" s="135"/>
      <c r="W164" s="151"/>
      <c r="X164" s="151"/>
      <c r="Y164" s="151"/>
      <c r="Z164" s="249"/>
      <c r="AA164" s="151"/>
      <c r="AB164" s="151"/>
      <c r="AC164" s="151"/>
      <c r="AD164" s="151"/>
      <c r="AE164" s="151"/>
      <c r="AF164" s="151"/>
      <c r="AG164" s="151"/>
      <c r="AH164" s="151"/>
      <c r="AI164" s="151"/>
      <c r="AJ164" s="151"/>
      <c r="AK164" s="151"/>
      <c r="AL164" s="151"/>
      <c r="AM164" s="151"/>
    </row>
    <row r="165" spans="1:39" x14ac:dyDescent="0.2">
      <c r="A165" s="21"/>
      <c r="B165" s="21"/>
      <c r="C165" s="21"/>
      <c r="D165" s="21"/>
      <c r="E165" s="21"/>
      <c r="F165" s="21"/>
      <c r="G165" s="21"/>
      <c r="H165" s="21"/>
      <c r="I165" s="134"/>
      <c r="J165" s="135"/>
      <c r="K165" s="134"/>
      <c r="L165" s="135"/>
      <c r="M165" s="135"/>
      <c r="N165" s="135"/>
      <c r="O165" s="135"/>
      <c r="Q165" s="135"/>
      <c r="R165" s="135"/>
      <c r="S165" s="48"/>
      <c r="T165" s="135"/>
      <c r="U165" s="151"/>
      <c r="V165" s="135"/>
      <c r="W165" s="151"/>
      <c r="X165" s="151"/>
      <c r="Y165" s="151"/>
      <c r="Z165" s="249"/>
      <c r="AA165" s="151"/>
      <c r="AB165" s="151"/>
      <c r="AC165" s="151"/>
      <c r="AD165" s="151"/>
      <c r="AE165" s="151"/>
      <c r="AF165" s="151"/>
      <c r="AG165" s="151"/>
      <c r="AH165" s="151"/>
      <c r="AI165" s="151"/>
      <c r="AJ165" s="151"/>
      <c r="AK165" s="151"/>
      <c r="AL165" s="151"/>
      <c r="AM165" s="151"/>
    </row>
    <row r="166" spans="1:39" x14ac:dyDescent="0.2">
      <c r="A166" s="21"/>
      <c r="B166" s="21"/>
      <c r="C166" s="21"/>
      <c r="D166" s="21"/>
      <c r="E166" s="21"/>
      <c r="F166" s="21"/>
      <c r="G166" s="21"/>
      <c r="H166" s="21"/>
      <c r="I166" s="134"/>
      <c r="J166" s="135"/>
      <c r="K166" s="134"/>
      <c r="L166" s="135"/>
      <c r="M166" s="135"/>
      <c r="N166" s="135"/>
      <c r="O166" s="135"/>
      <c r="Q166" s="135"/>
      <c r="R166" s="135"/>
      <c r="S166" s="48"/>
      <c r="T166" s="135"/>
      <c r="U166" s="151"/>
      <c r="V166" s="135"/>
      <c r="W166" s="151"/>
      <c r="X166" s="151"/>
      <c r="Y166" s="151"/>
      <c r="Z166" s="249"/>
      <c r="AA166" s="151"/>
      <c r="AB166" s="151"/>
      <c r="AC166" s="151"/>
      <c r="AD166" s="151"/>
      <c r="AE166" s="151"/>
      <c r="AF166" s="151"/>
      <c r="AG166" s="151"/>
      <c r="AH166" s="151"/>
      <c r="AI166" s="151"/>
      <c r="AJ166" s="151"/>
      <c r="AK166" s="151"/>
      <c r="AL166" s="151"/>
      <c r="AM166" s="151"/>
    </row>
  </sheetData>
  <pageMargins left="0.31" right="0.36" top="0.75" bottom="0.28000000000000003" header="0.3" footer="0.19"/>
  <pageSetup scale="65" orientation="landscape" r:id="rId1"/>
  <headerFooter>
    <oddHeader>&amp;L&amp;"Arial,Bold"&amp;12Judicial Branch&amp;R&amp;"Arial,Bold"&amp;12Justice System Apropriation Subcommittee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62"/>
  <sheetViews>
    <sheetView zoomScale="80" zoomScaleNormal="80" workbookViewId="0">
      <selection activeCell="AY23" sqref="AY23"/>
    </sheetView>
  </sheetViews>
  <sheetFormatPr defaultColWidth="9.140625" defaultRowHeight="12.75" x14ac:dyDescent="0.2"/>
  <cols>
    <col min="1" max="1" width="14" style="11" customWidth="1"/>
    <col min="2" max="2" width="0.7109375" style="11" customWidth="1"/>
    <col min="3" max="3" width="17.140625" style="15" customWidth="1"/>
    <col min="4" max="4" width="1.140625" style="11" customWidth="1"/>
    <col min="5" max="5" width="16" style="16" customWidth="1"/>
    <col min="6" max="6" width="1" style="17" customWidth="1"/>
    <col min="7" max="7" width="29.28515625" style="16" customWidth="1"/>
    <col min="8" max="8" width="1" style="17" customWidth="1"/>
    <col min="9" max="9" width="11.140625" style="20" customWidth="1"/>
    <col min="10" max="10" width="1.28515625" style="5" customWidth="1"/>
    <col min="11" max="11" width="10.7109375" style="5" customWidth="1"/>
    <col min="12" max="12" width="1" style="5" customWidth="1"/>
    <col min="13" max="13" width="16" style="5" customWidth="1"/>
    <col min="14" max="14" width="0.5703125" style="5" customWidth="1"/>
    <col min="15" max="15" width="10.7109375" style="20" customWidth="1"/>
    <col min="16" max="16" width="11.28515625" style="5" bestFit="1" customWidth="1"/>
    <col min="17" max="17" width="10.42578125" style="5" hidden="1" customWidth="1"/>
    <col min="18" max="18" width="0.85546875" style="5" hidden="1" customWidth="1"/>
    <col min="19" max="19" width="14" style="45" hidden="1" customWidth="1"/>
    <col min="20" max="20" width="0.85546875" style="5" hidden="1" customWidth="1"/>
    <col min="21" max="21" width="8.42578125" style="61" hidden="1" customWidth="1"/>
    <col min="22" max="22" width="0.85546875" style="5" hidden="1" customWidth="1"/>
    <col min="23" max="23" width="9.85546875" style="61" hidden="1" customWidth="1"/>
    <col min="24" max="24" width="0.85546875" style="5" customWidth="1"/>
    <col min="25" max="25" width="10.42578125" style="5" hidden="1" customWidth="1"/>
    <col min="26" max="26" width="0.85546875" style="5" hidden="1" customWidth="1"/>
    <col min="27" max="27" width="14" style="45" hidden="1" customWidth="1"/>
    <col min="28" max="28" width="0.85546875" style="5" hidden="1" customWidth="1"/>
    <col min="29" max="29" width="8.42578125" style="61" hidden="1" customWidth="1"/>
    <col min="30" max="30" width="0.85546875" style="5" hidden="1" customWidth="1"/>
    <col min="31" max="31" width="9.85546875" style="61" hidden="1" customWidth="1"/>
    <col min="32" max="32" width="8.42578125" style="61" hidden="1" customWidth="1"/>
    <col min="33" max="33" width="0.85546875" style="5" hidden="1" customWidth="1"/>
    <col min="34" max="34" width="9.85546875" style="61" hidden="1" customWidth="1"/>
    <col min="35" max="35" width="12.140625" style="61" customWidth="1"/>
    <col min="36" max="36" width="0.85546875" style="5" customWidth="1"/>
    <col min="37" max="37" width="10.7109375" style="61" bestFit="1" customWidth="1"/>
    <col min="38" max="38" width="11.7109375" style="61" customWidth="1"/>
    <col min="39" max="39" width="0.85546875" style="5" customWidth="1"/>
    <col min="40" max="40" width="10.7109375" style="61" bestFit="1" customWidth="1"/>
    <col min="41" max="41" width="1.42578125" style="61" customWidth="1"/>
    <col min="42" max="42" width="13.28515625" style="61" customWidth="1"/>
    <col min="43" max="43" width="12.5703125" style="61" customWidth="1"/>
    <col min="44" max="44" width="1.85546875" style="61" customWidth="1"/>
    <col min="45" max="45" width="11" style="61" customWidth="1"/>
    <col min="46" max="46" width="12.140625" style="61" customWidth="1"/>
    <col min="47" max="47" width="18.85546875" style="155" customWidth="1"/>
    <col min="48" max="48" width="14.140625" style="5" customWidth="1"/>
    <col min="49" max="49" width="2.5703125" style="5" customWidth="1"/>
    <col min="50" max="50" width="18.140625" style="5" customWidth="1"/>
    <col min="51" max="276" width="9.140625" style="5"/>
    <col min="277" max="277" width="2.140625" style="5" customWidth="1"/>
    <col min="278" max="278" width="14" style="5" customWidth="1"/>
    <col min="279" max="279" width="0.7109375" style="5" customWidth="1"/>
    <col min="280" max="280" width="17.140625" style="5" customWidth="1"/>
    <col min="281" max="281" width="1.140625" style="5" customWidth="1"/>
    <col min="282" max="282" width="18.28515625" style="5" customWidth="1"/>
    <col min="283" max="283" width="1" style="5" customWidth="1"/>
    <col min="284" max="284" width="41.28515625" style="5" customWidth="1"/>
    <col min="285" max="285" width="1" style="5" customWidth="1"/>
    <col min="286" max="286" width="11.140625" style="5" customWidth="1"/>
    <col min="287" max="287" width="1.28515625" style="5" customWidth="1"/>
    <col min="288" max="288" width="10.7109375" style="5" customWidth="1"/>
    <col min="289" max="289" width="1" style="5" customWidth="1"/>
    <col min="290" max="290" width="10.42578125" style="5" customWidth="1"/>
    <col min="291" max="291" width="0.85546875" style="5" customWidth="1"/>
    <col min="292" max="292" width="14" style="5" customWidth="1"/>
    <col min="293" max="293" width="0.85546875" style="5" customWidth="1"/>
    <col min="294" max="294" width="8.42578125" style="5" customWidth="1"/>
    <col min="295" max="295" width="0.85546875" style="5" customWidth="1"/>
    <col min="296" max="296" width="9.85546875" style="5" customWidth="1"/>
    <col min="297" max="297" width="0.85546875" style="5" customWidth="1"/>
    <col min="298" max="298" width="16" style="5" customWidth="1"/>
    <col min="299" max="299" width="0.5703125" style="5" customWidth="1"/>
    <col min="300" max="300" width="9.42578125" style="5" bestFit="1" customWidth="1"/>
    <col min="301" max="301" width="1.140625" style="5" customWidth="1"/>
    <col min="302" max="532" width="9.140625" style="5"/>
    <col min="533" max="533" width="2.140625" style="5" customWidth="1"/>
    <col min="534" max="534" width="14" style="5" customWidth="1"/>
    <col min="535" max="535" width="0.7109375" style="5" customWidth="1"/>
    <col min="536" max="536" width="17.140625" style="5" customWidth="1"/>
    <col min="537" max="537" width="1.140625" style="5" customWidth="1"/>
    <col min="538" max="538" width="18.28515625" style="5" customWidth="1"/>
    <col min="539" max="539" width="1" style="5" customWidth="1"/>
    <col min="540" max="540" width="41.28515625" style="5" customWidth="1"/>
    <col min="541" max="541" width="1" style="5" customWidth="1"/>
    <col min="542" max="542" width="11.140625" style="5" customWidth="1"/>
    <col min="543" max="543" width="1.28515625" style="5" customWidth="1"/>
    <col min="544" max="544" width="10.7109375" style="5" customWidth="1"/>
    <col min="545" max="545" width="1" style="5" customWidth="1"/>
    <col min="546" max="546" width="10.42578125" style="5" customWidth="1"/>
    <col min="547" max="547" width="0.85546875" style="5" customWidth="1"/>
    <col min="548" max="548" width="14" style="5" customWidth="1"/>
    <col min="549" max="549" width="0.85546875" style="5" customWidth="1"/>
    <col min="550" max="550" width="8.42578125" style="5" customWidth="1"/>
    <col min="551" max="551" width="0.85546875" style="5" customWidth="1"/>
    <col min="552" max="552" width="9.85546875" style="5" customWidth="1"/>
    <col min="553" max="553" width="0.85546875" style="5" customWidth="1"/>
    <col min="554" max="554" width="16" style="5" customWidth="1"/>
    <col min="555" max="555" width="0.5703125" style="5" customWidth="1"/>
    <col min="556" max="556" width="9.42578125" style="5" bestFit="1" customWidth="1"/>
    <col min="557" max="557" width="1.140625" style="5" customWidth="1"/>
    <col min="558" max="788" width="9.140625" style="5"/>
    <col min="789" max="789" width="2.140625" style="5" customWidth="1"/>
    <col min="790" max="790" width="14" style="5" customWidth="1"/>
    <col min="791" max="791" width="0.7109375" style="5" customWidth="1"/>
    <col min="792" max="792" width="17.140625" style="5" customWidth="1"/>
    <col min="793" max="793" width="1.140625" style="5" customWidth="1"/>
    <col min="794" max="794" width="18.28515625" style="5" customWidth="1"/>
    <col min="795" max="795" width="1" style="5" customWidth="1"/>
    <col min="796" max="796" width="41.28515625" style="5" customWidth="1"/>
    <col min="797" max="797" width="1" style="5" customWidth="1"/>
    <col min="798" max="798" width="11.140625" style="5" customWidth="1"/>
    <col min="799" max="799" width="1.28515625" style="5" customWidth="1"/>
    <col min="800" max="800" width="10.7109375" style="5" customWidth="1"/>
    <col min="801" max="801" width="1" style="5" customWidth="1"/>
    <col min="802" max="802" width="10.42578125" style="5" customWidth="1"/>
    <col min="803" max="803" width="0.85546875" style="5" customWidth="1"/>
    <col min="804" max="804" width="14" style="5" customWidth="1"/>
    <col min="805" max="805" width="0.85546875" style="5" customWidth="1"/>
    <col min="806" max="806" width="8.42578125" style="5" customWidth="1"/>
    <col min="807" max="807" width="0.85546875" style="5" customWidth="1"/>
    <col min="808" max="808" width="9.85546875" style="5" customWidth="1"/>
    <col min="809" max="809" width="0.85546875" style="5" customWidth="1"/>
    <col min="810" max="810" width="16" style="5" customWidth="1"/>
    <col min="811" max="811" width="0.5703125" style="5" customWidth="1"/>
    <col min="812" max="812" width="9.42578125" style="5" bestFit="1" customWidth="1"/>
    <col min="813" max="813" width="1.140625" style="5" customWidth="1"/>
    <col min="814" max="1044" width="9.140625" style="5"/>
    <col min="1045" max="1045" width="2.140625" style="5" customWidth="1"/>
    <col min="1046" max="1046" width="14" style="5" customWidth="1"/>
    <col min="1047" max="1047" width="0.7109375" style="5" customWidth="1"/>
    <col min="1048" max="1048" width="17.140625" style="5" customWidth="1"/>
    <col min="1049" max="1049" width="1.140625" style="5" customWidth="1"/>
    <col min="1050" max="1050" width="18.28515625" style="5" customWidth="1"/>
    <col min="1051" max="1051" width="1" style="5" customWidth="1"/>
    <col min="1052" max="1052" width="41.28515625" style="5" customWidth="1"/>
    <col min="1053" max="1053" width="1" style="5" customWidth="1"/>
    <col min="1054" max="1054" width="11.140625" style="5" customWidth="1"/>
    <col min="1055" max="1055" width="1.28515625" style="5" customWidth="1"/>
    <col min="1056" max="1056" width="10.7109375" style="5" customWidth="1"/>
    <col min="1057" max="1057" width="1" style="5" customWidth="1"/>
    <col min="1058" max="1058" width="10.42578125" style="5" customWidth="1"/>
    <col min="1059" max="1059" width="0.85546875" style="5" customWidth="1"/>
    <col min="1060" max="1060" width="14" style="5" customWidth="1"/>
    <col min="1061" max="1061" width="0.85546875" style="5" customWidth="1"/>
    <col min="1062" max="1062" width="8.42578125" style="5" customWidth="1"/>
    <col min="1063" max="1063" width="0.85546875" style="5" customWidth="1"/>
    <col min="1064" max="1064" width="9.85546875" style="5" customWidth="1"/>
    <col min="1065" max="1065" width="0.85546875" style="5" customWidth="1"/>
    <col min="1066" max="1066" width="16" style="5" customWidth="1"/>
    <col min="1067" max="1067" width="0.5703125" style="5" customWidth="1"/>
    <col min="1068" max="1068" width="9.42578125" style="5" bestFit="1" customWidth="1"/>
    <col min="1069" max="1069" width="1.140625" style="5" customWidth="1"/>
    <col min="1070" max="1300" width="9.140625" style="5"/>
    <col min="1301" max="1301" width="2.140625" style="5" customWidth="1"/>
    <col min="1302" max="1302" width="14" style="5" customWidth="1"/>
    <col min="1303" max="1303" width="0.7109375" style="5" customWidth="1"/>
    <col min="1304" max="1304" width="17.140625" style="5" customWidth="1"/>
    <col min="1305" max="1305" width="1.140625" style="5" customWidth="1"/>
    <col min="1306" max="1306" width="18.28515625" style="5" customWidth="1"/>
    <col min="1307" max="1307" width="1" style="5" customWidth="1"/>
    <col min="1308" max="1308" width="41.28515625" style="5" customWidth="1"/>
    <col min="1309" max="1309" width="1" style="5" customWidth="1"/>
    <col min="1310" max="1310" width="11.140625" style="5" customWidth="1"/>
    <col min="1311" max="1311" width="1.28515625" style="5" customWidth="1"/>
    <col min="1312" max="1312" width="10.7109375" style="5" customWidth="1"/>
    <col min="1313" max="1313" width="1" style="5" customWidth="1"/>
    <col min="1314" max="1314" width="10.42578125" style="5" customWidth="1"/>
    <col min="1315" max="1315" width="0.85546875" style="5" customWidth="1"/>
    <col min="1316" max="1316" width="14" style="5" customWidth="1"/>
    <col min="1317" max="1317" width="0.85546875" style="5" customWidth="1"/>
    <col min="1318" max="1318" width="8.42578125" style="5" customWidth="1"/>
    <col min="1319" max="1319" width="0.85546875" style="5" customWidth="1"/>
    <col min="1320" max="1320" width="9.85546875" style="5" customWidth="1"/>
    <col min="1321" max="1321" width="0.85546875" style="5" customWidth="1"/>
    <col min="1322" max="1322" width="16" style="5" customWidth="1"/>
    <col min="1323" max="1323" width="0.5703125" style="5" customWidth="1"/>
    <col min="1324" max="1324" width="9.42578125" style="5" bestFit="1" customWidth="1"/>
    <col min="1325" max="1325" width="1.140625" style="5" customWidth="1"/>
    <col min="1326" max="1556" width="9.140625" style="5"/>
    <col min="1557" max="1557" width="2.140625" style="5" customWidth="1"/>
    <col min="1558" max="1558" width="14" style="5" customWidth="1"/>
    <col min="1559" max="1559" width="0.7109375" style="5" customWidth="1"/>
    <col min="1560" max="1560" width="17.140625" style="5" customWidth="1"/>
    <col min="1561" max="1561" width="1.140625" style="5" customWidth="1"/>
    <col min="1562" max="1562" width="18.28515625" style="5" customWidth="1"/>
    <col min="1563" max="1563" width="1" style="5" customWidth="1"/>
    <col min="1564" max="1564" width="41.28515625" style="5" customWidth="1"/>
    <col min="1565" max="1565" width="1" style="5" customWidth="1"/>
    <col min="1566" max="1566" width="11.140625" style="5" customWidth="1"/>
    <col min="1567" max="1567" width="1.28515625" style="5" customWidth="1"/>
    <col min="1568" max="1568" width="10.7109375" style="5" customWidth="1"/>
    <col min="1569" max="1569" width="1" style="5" customWidth="1"/>
    <col min="1570" max="1570" width="10.42578125" style="5" customWidth="1"/>
    <col min="1571" max="1571" width="0.85546875" style="5" customWidth="1"/>
    <col min="1572" max="1572" width="14" style="5" customWidth="1"/>
    <col min="1573" max="1573" width="0.85546875" style="5" customWidth="1"/>
    <col min="1574" max="1574" width="8.42578125" style="5" customWidth="1"/>
    <col min="1575" max="1575" width="0.85546875" style="5" customWidth="1"/>
    <col min="1576" max="1576" width="9.85546875" style="5" customWidth="1"/>
    <col min="1577" max="1577" width="0.85546875" style="5" customWidth="1"/>
    <col min="1578" max="1578" width="16" style="5" customWidth="1"/>
    <col min="1579" max="1579" width="0.5703125" style="5" customWidth="1"/>
    <col min="1580" max="1580" width="9.42578125" style="5" bestFit="1" customWidth="1"/>
    <col min="1581" max="1581" width="1.140625" style="5" customWidth="1"/>
    <col min="1582" max="1812" width="9.140625" style="5"/>
    <col min="1813" max="1813" width="2.140625" style="5" customWidth="1"/>
    <col min="1814" max="1814" width="14" style="5" customWidth="1"/>
    <col min="1815" max="1815" width="0.7109375" style="5" customWidth="1"/>
    <col min="1816" max="1816" width="17.140625" style="5" customWidth="1"/>
    <col min="1817" max="1817" width="1.140625" style="5" customWidth="1"/>
    <col min="1818" max="1818" width="18.28515625" style="5" customWidth="1"/>
    <col min="1819" max="1819" width="1" style="5" customWidth="1"/>
    <col min="1820" max="1820" width="41.28515625" style="5" customWidth="1"/>
    <col min="1821" max="1821" width="1" style="5" customWidth="1"/>
    <col min="1822" max="1822" width="11.140625" style="5" customWidth="1"/>
    <col min="1823" max="1823" width="1.28515625" style="5" customWidth="1"/>
    <col min="1824" max="1824" width="10.7109375" style="5" customWidth="1"/>
    <col min="1825" max="1825" width="1" style="5" customWidth="1"/>
    <col min="1826" max="1826" width="10.42578125" style="5" customWidth="1"/>
    <col min="1827" max="1827" width="0.85546875" style="5" customWidth="1"/>
    <col min="1828" max="1828" width="14" style="5" customWidth="1"/>
    <col min="1829" max="1829" width="0.85546875" style="5" customWidth="1"/>
    <col min="1830" max="1830" width="8.42578125" style="5" customWidth="1"/>
    <col min="1831" max="1831" width="0.85546875" style="5" customWidth="1"/>
    <col min="1832" max="1832" width="9.85546875" style="5" customWidth="1"/>
    <col min="1833" max="1833" width="0.85546875" style="5" customWidth="1"/>
    <col min="1834" max="1834" width="16" style="5" customWidth="1"/>
    <col min="1835" max="1835" width="0.5703125" style="5" customWidth="1"/>
    <col min="1836" max="1836" width="9.42578125" style="5" bestFit="1" customWidth="1"/>
    <col min="1837" max="1837" width="1.140625" style="5" customWidth="1"/>
    <col min="1838" max="2068" width="9.140625" style="5"/>
    <col min="2069" max="2069" width="2.140625" style="5" customWidth="1"/>
    <col min="2070" max="2070" width="14" style="5" customWidth="1"/>
    <col min="2071" max="2071" width="0.7109375" style="5" customWidth="1"/>
    <col min="2072" max="2072" width="17.140625" style="5" customWidth="1"/>
    <col min="2073" max="2073" width="1.140625" style="5" customWidth="1"/>
    <col min="2074" max="2074" width="18.28515625" style="5" customWidth="1"/>
    <col min="2075" max="2075" width="1" style="5" customWidth="1"/>
    <col min="2076" max="2076" width="41.28515625" style="5" customWidth="1"/>
    <col min="2077" max="2077" width="1" style="5" customWidth="1"/>
    <col min="2078" max="2078" width="11.140625" style="5" customWidth="1"/>
    <col min="2079" max="2079" width="1.28515625" style="5" customWidth="1"/>
    <col min="2080" max="2080" width="10.7109375" style="5" customWidth="1"/>
    <col min="2081" max="2081" width="1" style="5" customWidth="1"/>
    <col min="2082" max="2082" width="10.42578125" style="5" customWidth="1"/>
    <col min="2083" max="2083" width="0.85546875" style="5" customWidth="1"/>
    <col min="2084" max="2084" width="14" style="5" customWidth="1"/>
    <col min="2085" max="2085" width="0.85546875" style="5" customWidth="1"/>
    <col min="2086" max="2086" width="8.42578125" style="5" customWidth="1"/>
    <col min="2087" max="2087" width="0.85546875" style="5" customWidth="1"/>
    <col min="2088" max="2088" width="9.85546875" style="5" customWidth="1"/>
    <col min="2089" max="2089" width="0.85546875" style="5" customWidth="1"/>
    <col min="2090" max="2090" width="16" style="5" customWidth="1"/>
    <col min="2091" max="2091" width="0.5703125" style="5" customWidth="1"/>
    <col min="2092" max="2092" width="9.42578125" style="5" bestFit="1" customWidth="1"/>
    <col min="2093" max="2093" width="1.140625" style="5" customWidth="1"/>
    <col min="2094" max="2324" width="9.140625" style="5"/>
    <col min="2325" max="2325" width="2.140625" style="5" customWidth="1"/>
    <col min="2326" max="2326" width="14" style="5" customWidth="1"/>
    <col min="2327" max="2327" width="0.7109375" style="5" customWidth="1"/>
    <col min="2328" max="2328" width="17.140625" style="5" customWidth="1"/>
    <col min="2329" max="2329" width="1.140625" style="5" customWidth="1"/>
    <col min="2330" max="2330" width="18.28515625" style="5" customWidth="1"/>
    <col min="2331" max="2331" width="1" style="5" customWidth="1"/>
    <col min="2332" max="2332" width="41.28515625" style="5" customWidth="1"/>
    <col min="2333" max="2333" width="1" style="5" customWidth="1"/>
    <col min="2334" max="2334" width="11.140625" style="5" customWidth="1"/>
    <col min="2335" max="2335" width="1.28515625" style="5" customWidth="1"/>
    <col min="2336" max="2336" width="10.7109375" style="5" customWidth="1"/>
    <col min="2337" max="2337" width="1" style="5" customWidth="1"/>
    <col min="2338" max="2338" width="10.42578125" style="5" customWidth="1"/>
    <col min="2339" max="2339" width="0.85546875" style="5" customWidth="1"/>
    <col min="2340" max="2340" width="14" style="5" customWidth="1"/>
    <col min="2341" max="2341" width="0.85546875" style="5" customWidth="1"/>
    <col min="2342" max="2342" width="8.42578125" style="5" customWidth="1"/>
    <col min="2343" max="2343" width="0.85546875" style="5" customWidth="1"/>
    <col min="2344" max="2344" width="9.85546875" style="5" customWidth="1"/>
    <col min="2345" max="2345" width="0.85546875" style="5" customWidth="1"/>
    <col min="2346" max="2346" width="16" style="5" customWidth="1"/>
    <col min="2347" max="2347" width="0.5703125" style="5" customWidth="1"/>
    <col min="2348" max="2348" width="9.42578125" style="5" bestFit="1" customWidth="1"/>
    <col min="2349" max="2349" width="1.140625" style="5" customWidth="1"/>
    <col min="2350" max="2580" width="9.140625" style="5"/>
    <col min="2581" max="2581" width="2.140625" style="5" customWidth="1"/>
    <col min="2582" max="2582" width="14" style="5" customWidth="1"/>
    <col min="2583" max="2583" width="0.7109375" style="5" customWidth="1"/>
    <col min="2584" max="2584" width="17.140625" style="5" customWidth="1"/>
    <col min="2585" max="2585" width="1.140625" style="5" customWidth="1"/>
    <col min="2586" max="2586" width="18.28515625" style="5" customWidth="1"/>
    <col min="2587" max="2587" width="1" style="5" customWidth="1"/>
    <col min="2588" max="2588" width="41.28515625" style="5" customWidth="1"/>
    <col min="2589" max="2589" width="1" style="5" customWidth="1"/>
    <col min="2590" max="2590" width="11.140625" style="5" customWidth="1"/>
    <col min="2591" max="2591" width="1.28515625" style="5" customWidth="1"/>
    <col min="2592" max="2592" width="10.7109375" style="5" customWidth="1"/>
    <col min="2593" max="2593" width="1" style="5" customWidth="1"/>
    <col min="2594" max="2594" width="10.42578125" style="5" customWidth="1"/>
    <col min="2595" max="2595" width="0.85546875" style="5" customWidth="1"/>
    <col min="2596" max="2596" width="14" style="5" customWidth="1"/>
    <col min="2597" max="2597" width="0.85546875" style="5" customWidth="1"/>
    <col min="2598" max="2598" width="8.42578125" style="5" customWidth="1"/>
    <col min="2599" max="2599" width="0.85546875" style="5" customWidth="1"/>
    <col min="2600" max="2600" width="9.85546875" style="5" customWidth="1"/>
    <col min="2601" max="2601" width="0.85546875" style="5" customWidth="1"/>
    <col min="2602" max="2602" width="16" style="5" customWidth="1"/>
    <col min="2603" max="2603" width="0.5703125" style="5" customWidth="1"/>
    <col min="2604" max="2604" width="9.42578125" style="5" bestFit="1" customWidth="1"/>
    <col min="2605" max="2605" width="1.140625" style="5" customWidth="1"/>
    <col min="2606" max="2836" width="9.140625" style="5"/>
    <col min="2837" max="2837" width="2.140625" style="5" customWidth="1"/>
    <col min="2838" max="2838" width="14" style="5" customWidth="1"/>
    <col min="2839" max="2839" width="0.7109375" style="5" customWidth="1"/>
    <col min="2840" max="2840" width="17.140625" style="5" customWidth="1"/>
    <col min="2841" max="2841" width="1.140625" style="5" customWidth="1"/>
    <col min="2842" max="2842" width="18.28515625" style="5" customWidth="1"/>
    <col min="2843" max="2843" width="1" style="5" customWidth="1"/>
    <col min="2844" max="2844" width="41.28515625" style="5" customWidth="1"/>
    <col min="2845" max="2845" width="1" style="5" customWidth="1"/>
    <col min="2846" max="2846" width="11.140625" style="5" customWidth="1"/>
    <col min="2847" max="2847" width="1.28515625" style="5" customWidth="1"/>
    <col min="2848" max="2848" width="10.7109375" style="5" customWidth="1"/>
    <col min="2849" max="2849" width="1" style="5" customWidth="1"/>
    <col min="2850" max="2850" width="10.42578125" style="5" customWidth="1"/>
    <col min="2851" max="2851" width="0.85546875" style="5" customWidth="1"/>
    <col min="2852" max="2852" width="14" style="5" customWidth="1"/>
    <col min="2853" max="2853" width="0.85546875" style="5" customWidth="1"/>
    <col min="2854" max="2854" width="8.42578125" style="5" customWidth="1"/>
    <col min="2855" max="2855" width="0.85546875" style="5" customWidth="1"/>
    <col min="2856" max="2856" width="9.85546875" style="5" customWidth="1"/>
    <col min="2857" max="2857" width="0.85546875" style="5" customWidth="1"/>
    <col min="2858" max="2858" width="16" style="5" customWidth="1"/>
    <col min="2859" max="2859" width="0.5703125" style="5" customWidth="1"/>
    <col min="2860" max="2860" width="9.42578125" style="5" bestFit="1" customWidth="1"/>
    <col min="2861" max="2861" width="1.140625" style="5" customWidth="1"/>
    <col min="2862" max="3092" width="9.140625" style="5"/>
    <col min="3093" max="3093" width="2.140625" style="5" customWidth="1"/>
    <col min="3094" max="3094" width="14" style="5" customWidth="1"/>
    <col min="3095" max="3095" width="0.7109375" style="5" customWidth="1"/>
    <col min="3096" max="3096" width="17.140625" style="5" customWidth="1"/>
    <col min="3097" max="3097" width="1.140625" style="5" customWidth="1"/>
    <col min="3098" max="3098" width="18.28515625" style="5" customWidth="1"/>
    <col min="3099" max="3099" width="1" style="5" customWidth="1"/>
    <col min="3100" max="3100" width="41.28515625" style="5" customWidth="1"/>
    <col min="3101" max="3101" width="1" style="5" customWidth="1"/>
    <col min="3102" max="3102" width="11.140625" style="5" customWidth="1"/>
    <col min="3103" max="3103" width="1.28515625" style="5" customWidth="1"/>
    <col min="3104" max="3104" width="10.7109375" style="5" customWidth="1"/>
    <col min="3105" max="3105" width="1" style="5" customWidth="1"/>
    <col min="3106" max="3106" width="10.42578125" style="5" customWidth="1"/>
    <col min="3107" max="3107" width="0.85546875" style="5" customWidth="1"/>
    <col min="3108" max="3108" width="14" style="5" customWidth="1"/>
    <col min="3109" max="3109" width="0.85546875" style="5" customWidth="1"/>
    <col min="3110" max="3110" width="8.42578125" style="5" customWidth="1"/>
    <col min="3111" max="3111" width="0.85546875" style="5" customWidth="1"/>
    <col min="3112" max="3112" width="9.85546875" style="5" customWidth="1"/>
    <col min="3113" max="3113" width="0.85546875" style="5" customWidth="1"/>
    <col min="3114" max="3114" width="16" style="5" customWidth="1"/>
    <col min="3115" max="3115" width="0.5703125" style="5" customWidth="1"/>
    <col min="3116" max="3116" width="9.42578125" style="5" bestFit="1" customWidth="1"/>
    <col min="3117" max="3117" width="1.140625" style="5" customWidth="1"/>
    <col min="3118" max="3348" width="9.140625" style="5"/>
    <col min="3349" max="3349" width="2.140625" style="5" customWidth="1"/>
    <col min="3350" max="3350" width="14" style="5" customWidth="1"/>
    <col min="3351" max="3351" width="0.7109375" style="5" customWidth="1"/>
    <col min="3352" max="3352" width="17.140625" style="5" customWidth="1"/>
    <col min="3353" max="3353" width="1.140625" style="5" customWidth="1"/>
    <col min="3354" max="3354" width="18.28515625" style="5" customWidth="1"/>
    <col min="3355" max="3355" width="1" style="5" customWidth="1"/>
    <col min="3356" max="3356" width="41.28515625" style="5" customWidth="1"/>
    <col min="3357" max="3357" width="1" style="5" customWidth="1"/>
    <col min="3358" max="3358" width="11.140625" style="5" customWidth="1"/>
    <col min="3359" max="3359" width="1.28515625" style="5" customWidth="1"/>
    <col min="3360" max="3360" width="10.7109375" style="5" customWidth="1"/>
    <col min="3361" max="3361" width="1" style="5" customWidth="1"/>
    <col min="3362" max="3362" width="10.42578125" style="5" customWidth="1"/>
    <col min="3363" max="3363" width="0.85546875" style="5" customWidth="1"/>
    <col min="3364" max="3364" width="14" style="5" customWidth="1"/>
    <col min="3365" max="3365" width="0.85546875" style="5" customWidth="1"/>
    <col min="3366" max="3366" width="8.42578125" style="5" customWidth="1"/>
    <col min="3367" max="3367" width="0.85546875" style="5" customWidth="1"/>
    <col min="3368" max="3368" width="9.85546875" style="5" customWidth="1"/>
    <col min="3369" max="3369" width="0.85546875" style="5" customWidth="1"/>
    <col min="3370" max="3370" width="16" style="5" customWidth="1"/>
    <col min="3371" max="3371" width="0.5703125" style="5" customWidth="1"/>
    <col min="3372" max="3372" width="9.42578125" style="5" bestFit="1" customWidth="1"/>
    <col min="3373" max="3373" width="1.140625" style="5" customWidth="1"/>
    <col min="3374" max="3604" width="9.140625" style="5"/>
    <col min="3605" max="3605" width="2.140625" style="5" customWidth="1"/>
    <col min="3606" max="3606" width="14" style="5" customWidth="1"/>
    <col min="3607" max="3607" width="0.7109375" style="5" customWidth="1"/>
    <col min="3608" max="3608" width="17.140625" style="5" customWidth="1"/>
    <col min="3609" max="3609" width="1.140625" style="5" customWidth="1"/>
    <col min="3610" max="3610" width="18.28515625" style="5" customWidth="1"/>
    <col min="3611" max="3611" width="1" style="5" customWidth="1"/>
    <col min="3612" max="3612" width="41.28515625" style="5" customWidth="1"/>
    <col min="3613" max="3613" width="1" style="5" customWidth="1"/>
    <col min="3614" max="3614" width="11.140625" style="5" customWidth="1"/>
    <col min="3615" max="3615" width="1.28515625" style="5" customWidth="1"/>
    <col min="3616" max="3616" width="10.7109375" style="5" customWidth="1"/>
    <col min="3617" max="3617" width="1" style="5" customWidth="1"/>
    <col min="3618" max="3618" width="10.42578125" style="5" customWidth="1"/>
    <col min="3619" max="3619" width="0.85546875" style="5" customWidth="1"/>
    <col min="3620" max="3620" width="14" style="5" customWidth="1"/>
    <col min="3621" max="3621" width="0.85546875" style="5" customWidth="1"/>
    <col min="3622" max="3622" width="8.42578125" style="5" customWidth="1"/>
    <col min="3623" max="3623" width="0.85546875" style="5" customWidth="1"/>
    <col min="3624" max="3624" width="9.85546875" style="5" customWidth="1"/>
    <col min="3625" max="3625" width="0.85546875" style="5" customWidth="1"/>
    <col min="3626" max="3626" width="16" style="5" customWidth="1"/>
    <col min="3627" max="3627" width="0.5703125" style="5" customWidth="1"/>
    <col min="3628" max="3628" width="9.42578125" style="5" bestFit="1" customWidth="1"/>
    <col min="3629" max="3629" width="1.140625" style="5" customWidth="1"/>
    <col min="3630" max="3860" width="9.140625" style="5"/>
    <col min="3861" max="3861" width="2.140625" style="5" customWidth="1"/>
    <col min="3862" max="3862" width="14" style="5" customWidth="1"/>
    <col min="3863" max="3863" width="0.7109375" style="5" customWidth="1"/>
    <col min="3864" max="3864" width="17.140625" style="5" customWidth="1"/>
    <col min="3865" max="3865" width="1.140625" style="5" customWidth="1"/>
    <col min="3866" max="3866" width="18.28515625" style="5" customWidth="1"/>
    <col min="3867" max="3867" width="1" style="5" customWidth="1"/>
    <col min="3868" max="3868" width="41.28515625" style="5" customWidth="1"/>
    <col min="3869" max="3869" width="1" style="5" customWidth="1"/>
    <col min="3870" max="3870" width="11.140625" style="5" customWidth="1"/>
    <col min="3871" max="3871" width="1.28515625" style="5" customWidth="1"/>
    <col min="3872" max="3872" width="10.7109375" style="5" customWidth="1"/>
    <col min="3873" max="3873" width="1" style="5" customWidth="1"/>
    <col min="3874" max="3874" width="10.42578125" style="5" customWidth="1"/>
    <col min="3875" max="3875" width="0.85546875" style="5" customWidth="1"/>
    <col min="3876" max="3876" width="14" style="5" customWidth="1"/>
    <col min="3877" max="3877" width="0.85546875" style="5" customWidth="1"/>
    <col min="3878" max="3878" width="8.42578125" style="5" customWidth="1"/>
    <col min="3879" max="3879" width="0.85546875" style="5" customWidth="1"/>
    <col min="3880" max="3880" width="9.85546875" style="5" customWidth="1"/>
    <col min="3881" max="3881" width="0.85546875" style="5" customWidth="1"/>
    <col min="3882" max="3882" width="16" style="5" customWidth="1"/>
    <col min="3883" max="3883" width="0.5703125" style="5" customWidth="1"/>
    <col min="3884" max="3884" width="9.42578125" style="5" bestFit="1" customWidth="1"/>
    <col min="3885" max="3885" width="1.140625" style="5" customWidth="1"/>
    <col min="3886" max="4116" width="9.140625" style="5"/>
    <col min="4117" max="4117" width="2.140625" style="5" customWidth="1"/>
    <col min="4118" max="4118" width="14" style="5" customWidth="1"/>
    <col min="4119" max="4119" width="0.7109375" style="5" customWidth="1"/>
    <col min="4120" max="4120" width="17.140625" style="5" customWidth="1"/>
    <col min="4121" max="4121" width="1.140625" style="5" customWidth="1"/>
    <col min="4122" max="4122" width="18.28515625" style="5" customWidth="1"/>
    <col min="4123" max="4123" width="1" style="5" customWidth="1"/>
    <col min="4124" max="4124" width="41.28515625" style="5" customWidth="1"/>
    <col min="4125" max="4125" width="1" style="5" customWidth="1"/>
    <col min="4126" max="4126" width="11.140625" style="5" customWidth="1"/>
    <col min="4127" max="4127" width="1.28515625" style="5" customWidth="1"/>
    <col min="4128" max="4128" width="10.7109375" style="5" customWidth="1"/>
    <col min="4129" max="4129" width="1" style="5" customWidth="1"/>
    <col min="4130" max="4130" width="10.42578125" style="5" customWidth="1"/>
    <col min="4131" max="4131" width="0.85546875" style="5" customWidth="1"/>
    <col min="4132" max="4132" width="14" style="5" customWidth="1"/>
    <col min="4133" max="4133" width="0.85546875" style="5" customWidth="1"/>
    <col min="4134" max="4134" width="8.42578125" style="5" customWidth="1"/>
    <col min="4135" max="4135" width="0.85546875" style="5" customWidth="1"/>
    <col min="4136" max="4136" width="9.85546875" style="5" customWidth="1"/>
    <col min="4137" max="4137" width="0.85546875" style="5" customWidth="1"/>
    <col min="4138" max="4138" width="16" style="5" customWidth="1"/>
    <col min="4139" max="4139" width="0.5703125" style="5" customWidth="1"/>
    <col min="4140" max="4140" width="9.42578125" style="5" bestFit="1" customWidth="1"/>
    <col min="4141" max="4141" width="1.140625" style="5" customWidth="1"/>
    <col min="4142" max="4372" width="9.140625" style="5"/>
    <col min="4373" max="4373" width="2.140625" style="5" customWidth="1"/>
    <col min="4374" max="4374" width="14" style="5" customWidth="1"/>
    <col min="4375" max="4375" width="0.7109375" style="5" customWidth="1"/>
    <col min="4376" max="4376" width="17.140625" style="5" customWidth="1"/>
    <col min="4377" max="4377" width="1.140625" style="5" customWidth="1"/>
    <col min="4378" max="4378" width="18.28515625" style="5" customWidth="1"/>
    <col min="4379" max="4379" width="1" style="5" customWidth="1"/>
    <col min="4380" max="4380" width="41.28515625" style="5" customWidth="1"/>
    <col min="4381" max="4381" width="1" style="5" customWidth="1"/>
    <col min="4382" max="4382" width="11.140625" style="5" customWidth="1"/>
    <col min="4383" max="4383" width="1.28515625" style="5" customWidth="1"/>
    <col min="4384" max="4384" width="10.7109375" style="5" customWidth="1"/>
    <col min="4385" max="4385" width="1" style="5" customWidth="1"/>
    <col min="4386" max="4386" width="10.42578125" style="5" customWidth="1"/>
    <col min="4387" max="4387" width="0.85546875" style="5" customWidth="1"/>
    <col min="4388" max="4388" width="14" style="5" customWidth="1"/>
    <col min="4389" max="4389" width="0.85546875" style="5" customWidth="1"/>
    <col min="4390" max="4390" width="8.42578125" style="5" customWidth="1"/>
    <col min="4391" max="4391" width="0.85546875" style="5" customWidth="1"/>
    <col min="4392" max="4392" width="9.85546875" style="5" customWidth="1"/>
    <col min="4393" max="4393" width="0.85546875" style="5" customWidth="1"/>
    <col min="4394" max="4394" width="16" style="5" customWidth="1"/>
    <col min="4395" max="4395" width="0.5703125" style="5" customWidth="1"/>
    <col min="4396" max="4396" width="9.42578125" style="5" bestFit="1" customWidth="1"/>
    <col min="4397" max="4397" width="1.140625" style="5" customWidth="1"/>
    <col min="4398" max="4628" width="9.140625" style="5"/>
    <col min="4629" max="4629" width="2.140625" style="5" customWidth="1"/>
    <col min="4630" max="4630" width="14" style="5" customWidth="1"/>
    <col min="4631" max="4631" width="0.7109375" style="5" customWidth="1"/>
    <col min="4632" max="4632" width="17.140625" style="5" customWidth="1"/>
    <col min="4633" max="4633" width="1.140625" style="5" customWidth="1"/>
    <col min="4634" max="4634" width="18.28515625" style="5" customWidth="1"/>
    <col min="4635" max="4635" width="1" style="5" customWidth="1"/>
    <col min="4636" max="4636" width="41.28515625" style="5" customWidth="1"/>
    <col min="4637" max="4637" width="1" style="5" customWidth="1"/>
    <col min="4638" max="4638" width="11.140625" style="5" customWidth="1"/>
    <col min="4639" max="4639" width="1.28515625" style="5" customWidth="1"/>
    <col min="4640" max="4640" width="10.7109375" style="5" customWidth="1"/>
    <col min="4641" max="4641" width="1" style="5" customWidth="1"/>
    <col min="4642" max="4642" width="10.42578125" style="5" customWidth="1"/>
    <col min="4643" max="4643" width="0.85546875" style="5" customWidth="1"/>
    <col min="4644" max="4644" width="14" style="5" customWidth="1"/>
    <col min="4645" max="4645" width="0.85546875" style="5" customWidth="1"/>
    <col min="4646" max="4646" width="8.42578125" style="5" customWidth="1"/>
    <col min="4647" max="4647" width="0.85546875" style="5" customWidth="1"/>
    <col min="4648" max="4648" width="9.85546875" style="5" customWidth="1"/>
    <col min="4649" max="4649" width="0.85546875" style="5" customWidth="1"/>
    <col min="4650" max="4650" width="16" style="5" customWidth="1"/>
    <col min="4651" max="4651" width="0.5703125" style="5" customWidth="1"/>
    <col min="4652" max="4652" width="9.42578125" style="5" bestFit="1" customWidth="1"/>
    <col min="4653" max="4653" width="1.140625" style="5" customWidth="1"/>
    <col min="4654" max="4884" width="9.140625" style="5"/>
    <col min="4885" max="4885" width="2.140625" style="5" customWidth="1"/>
    <col min="4886" max="4886" width="14" style="5" customWidth="1"/>
    <col min="4887" max="4887" width="0.7109375" style="5" customWidth="1"/>
    <col min="4888" max="4888" width="17.140625" style="5" customWidth="1"/>
    <col min="4889" max="4889" width="1.140625" style="5" customWidth="1"/>
    <col min="4890" max="4890" width="18.28515625" style="5" customWidth="1"/>
    <col min="4891" max="4891" width="1" style="5" customWidth="1"/>
    <col min="4892" max="4892" width="41.28515625" style="5" customWidth="1"/>
    <col min="4893" max="4893" width="1" style="5" customWidth="1"/>
    <col min="4894" max="4894" width="11.140625" style="5" customWidth="1"/>
    <col min="4895" max="4895" width="1.28515625" style="5" customWidth="1"/>
    <col min="4896" max="4896" width="10.7109375" style="5" customWidth="1"/>
    <col min="4897" max="4897" width="1" style="5" customWidth="1"/>
    <col min="4898" max="4898" width="10.42578125" style="5" customWidth="1"/>
    <col min="4899" max="4899" width="0.85546875" style="5" customWidth="1"/>
    <col min="4900" max="4900" width="14" style="5" customWidth="1"/>
    <col min="4901" max="4901" width="0.85546875" style="5" customWidth="1"/>
    <col min="4902" max="4902" width="8.42578125" style="5" customWidth="1"/>
    <col min="4903" max="4903" width="0.85546875" style="5" customWidth="1"/>
    <col min="4904" max="4904" width="9.85546875" style="5" customWidth="1"/>
    <col min="4905" max="4905" width="0.85546875" style="5" customWidth="1"/>
    <col min="4906" max="4906" width="16" style="5" customWidth="1"/>
    <col min="4907" max="4907" width="0.5703125" style="5" customWidth="1"/>
    <col min="4908" max="4908" width="9.42578125" style="5" bestFit="1" customWidth="1"/>
    <col min="4909" max="4909" width="1.140625" style="5" customWidth="1"/>
    <col min="4910" max="5140" width="9.140625" style="5"/>
    <col min="5141" max="5141" width="2.140625" style="5" customWidth="1"/>
    <col min="5142" max="5142" width="14" style="5" customWidth="1"/>
    <col min="5143" max="5143" width="0.7109375" style="5" customWidth="1"/>
    <col min="5144" max="5144" width="17.140625" style="5" customWidth="1"/>
    <col min="5145" max="5145" width="1.140625" style="5" customWidth="1"/>
    <col min="5146" max="5146" width="18.28515625" style="5" customWidth="1"/>
    <col min="5147" max="5147" width="1" style="5" customWidth="1"/>
    <col min="5148" max="5148" width="41.28515625" style="5" customWidth="1"/>
    <col min="5149" max="5149" width="1" style="5" customWidth="1"/>
    <col min="5150" max="5150" width="11.140625" style="5" customWidth="1"/>
    <col min="5151" max="5151" width="1.28515625" style="5" customWidth="1"/>
    <col min="5152" max="5152" width="10.7109375" style="5" customWidth="1"/>
    <col min="5153" max="5153" width="1" style="5" customWidth="1"/>
    <col min="5154" max="5154" width="10.42578125" style="5" customWidth="1"/>
    <col min="5155" max="5155" width="0.85546875" style="5" customWidth="1"/>
    <col min="5156" max="5156" width="14" style="5" customWidth="1"/>
    <col min="5157" max="5157" width="0.85546875" style="5" customWidth="1"/>
    <col min="5158" max="5158" width="8.42578125" style="5" customWidth="1"/>
    <col min="5159" max="5159" width="0.85546875" style="5" customWidth="1"/>
    <col min="5160" max="5160" width="9.85546875" style="5" customWidth="1"/>
    <col min="5161" max="5161" width="0.85546875" style="5" customWidth="1"/>
    <col min="5162" max="5162" width="16" style="5" customWidth="1"/>
    <col min="5163" max="5163" width="0.5703125" style="5" customWidth="1"/>
    <col min="5164" max="5164" width="9.42578125" style="5" bestFit="1" customWidth="1"/>
    <col min="5165" max="5165" width="1.140625" style="5" customWidth="1"/>
    <col min="5166" max="5396" width="9.140625" style="5"/>
    <col min="5397" max="5397" width="2.140625" style="5" customWidth="1"/>
    <col min="5398" max="5398" width="14" style="5" customWidth="1"/>
    <col min="5399" max="5399" width="0.7109375" style="5" customWidth="1"/>
    <col min="5400" max="5400" width="17.140625" style="5" customWidth="1"/>
    <col min="5401" max="5401" width="1.140625" style="5" customWidth="1"/>
    <col min="5402" max="5402" width="18.28515625" style="5" customWidth="1"/>
    <col min="5403" max="5403" width="1" style="5" customWidth="1"/>
    <col min="5404" max="5404" width="41.28515625" style="5" customWidth="1"/>
    <col min="5405" max="5405" width="1" style="5" customWidth="1"/>
    <col min="5406" max="5406" width="11.140625" style="5" customWidth="1"/>
    <col min="5407" max="5407" width="1.28515625" style="5" customWidth="1"/>
    <col min="5408" max="5408" width="10.7109375" style="5" customWidth="1"/>
    <col min="5409" max="5409" width="1" style="5" customWidth="1"/>
    <col min="5410" max="5410" width="10.42578125" style="5" customWidth="1"/>
    <col min="5411" max="5411" width="0.85546875" style="5" customWidth="1"/>
    <col min="5412" max="5412" width="14" style="5" customWidth="1"/>
    <col min="5413" max="5413" width="0.85546875" style="5" customWidth="1"/>
    <col min="5414" max="5414" width="8.42578125" style="5" customWidth="1"/>
    <col min="5415" max="5415" width="0.85546875" style="5" customWidth="1"/>
    <col min="5416" max="5416" width="9.85546875" style="5" customWidth="1"/>
    <col min="5417" max="5417" width="0.85546875" style="5" customWidth="1"/>
    <col min="5418" max="5418" width="16" style="5" customWidth="1"/>
    <col min="5419" max="5419" width="0.5703125" style="5" customWidth="1"/>
    <col min="5420" max="5420" width="9.42578125" style="5" bestFit="1" customWidth="1"/>
    <col min="5421" max="5421" width="1.140625" style="5" customWidth="1"/>
    <col min="5422" max="5652" width="9.140625" style="5"/>
    <col min="5653" max="5653" width="2.140625" style="5" customWidth="1"/>
    <col min="5654" max="5654" width="14" style="5" customWidth="1"/>
    <col min="5655" max="5655" width="0.7109375" style="5" customWidth="1"/>
    <col min="5656" max="5656" width="17.140625" style="5" customWidth="1"/>
    <col min="5657" max="5657" width="1.140625" style="5" customWidth="1"/>
    <col min="5658" max="5658" width="18.28515625" style="5" customWidth="1"/>
    <col min="5659" max="5659" width="1" style="5" customWidth="1"/>
    <col min="5660" max="5660" width="41.28515625" style="5" customWidth="1"/>
    <col min="5661" max="5661" width="1" style="5" customWidth="1"/>
    <col min="5662" max="5662" width="11.140625" style="5" customWidth="1"/>
    <col min="5663" max="5663" width="1.28515625" style="5" customWidth="1"/>
    <col min="5664" max="5664" width="10.7109375" style="5" customWidth="1"/>
    <col min="5665" max="5665" width="1" style="5" customWidth="1"/>
    <col min="5666" max="5666" width="10.42578125" style="5" customWidth="1"/>
    <col min="5667" max="5667" width="0.85546875" style="5" customWidth="1"/>
    <col min="5668" max="5668" width="14" style="5" customWidth="1"/>
    <col min="5669" max="5669" width="0.85546875" style="5" customWidth="1"/>
    <col min="5670" max="5670" width="8.42578125" style="5" customWidth="1"/>
    <col min="5671" max="5671" width="0.85546875" style="5" customWidth="1"/>
    <col min="5672" max="5672" width="9.85546875" style="5" customWidth="1"/>
    <col min="5673" max="5673" width="0.85546875" style="5" customWidth="1"/>
    <col min="5674" max="5674" width="16" style="5" customWidth="1"/>
    <col min="5675" max="5675" width="0.5703125" style="5" customWidth="1"/>
    <col min="5676" max="5676" width="9.42578125" style="5" bestFit="1" customWidth="1"/>
    <col min="5677" max="5677" width="1.140625" style="5" customWidth="1"/>
    <col min="5678" max="5908" width="9.140625" style="5"/>
    <col min="5909" max="5909" width="2.140625" style="5" customWidth="1"/>
    <col min="5910" max="5910" width="14" style="5" customWidth="1"/>
    <col min="5911" max="5911" width="0.7109375" style="5" customWidth="1"/>
    <col min="5912" max="5912" width="17.140625" style="5" customWidth="1"/>
    <col min="5913" max="5913" width="1.140625" style="5" customWidth="1"/>
    <col min="5914" max="5914" width="18.28515625" style="5" customWidth="1"/>
    <col min="5915" max="5915" width="1" style="5" customWidth="1"/>
    <col min="5916" max="5916" width="41.28515625" style="5" customWidth="1"/>
    <col min="5917" max="5917" width="1" style="5" customWidth="1"/>
    <col min="5918" max="5918" width="11.140625" style="5" customWidth="1"/>
    <col min="5919" max="5919" width="1.28515625" style="5" customWidth="1"/>
    <col min="5920" max="5920" width="10.7109375" style="5" customWidth="1"/>
    <col min="5921" max="5921" width="1" style="5" customWidth="1"/>
    <col min="5922" max="5922" width="10.42578125" style="5" customWidth="1"/>
    <col min="5923" max="5923" width="0.85546875" style="5" customWidth="1"/>
    <col min="5924" max="5924" width="14" style="5" customWidth="1"/>
    <col min="5925" max="5925" width="0.85546875" style="5" customWidth="1"/>
    <col min="5926" max="5926" width="8.42578125" style="5" customWidth="1"/>
    <col min="5927" max="5927" width="0.85546875" style="5" customWidth="1"/>
    <col min="5928" max="5928" width="9.85546875" style="5" customWidth="1"/>
    <col min="5929" max="5929" width="0.85546875" style="5" customWidth="1"/>
    <col min="5930" max="5930" width="16" style="5" customWidth="1"/>
    <col min="5931" max="5931" width="0.5703125" style="5" customWidth="1"/>
    <col min="5932" max="5932" width="9.42578125" style="5" bestFit="1" customWidth="1"/>
    <col min="5933" max="5933" width="1.140625" style="5" customWidth="1"/>
    <col min="5934" max="6164" width="9.140625" style="5"/>
    <col min="6165" max="6165" width="2.140625" style="5" customWidth="1"/>
    <col min="6166" max="6166" width="14" style="5" customWidth="1"/>
    <col min="6167" max="6167" width="0.7109375" style="5" customWidth="1"/>
    <col min="6168" max="6168" width="17.140625" style="5" customWidth="1"/>
    <col min="6169" max="6169" width="1.140625" style="5" customWidth="1"/>
    <col min="6170" max="6170" width="18.28515625" style="5" customWidth="1"/>
    <col min="6171" max="6171" width="1" style="5" customWidth="1"/>
    <col min="6172" max="6172" width="41.28515625" style="5" customWidth="1"/>
    <col min="6173" max="6173" width="1" style="5" customWidth="1"/>
    <col min="6174" max="6174" width="11.140625" style="5" customWidth="1"/>
    <col min="6175" max="6175" width="1.28515625" style="5" customWidth="1"/>
    <col min="6176" max="6176" width="10.7109375" style="5" customWidth="1"/>
    <col min="6177" max="6177" width="1" style="5" customWidth="1"/>
    <col min="6178" max="6178" width="10.42578125" style="5" customWidth="1"/>
    <col min="6179" max="6179" width="0.85546875" style="5" customWidth="1"/>
    <col min="6180" max="6180" width="14" style="5" customWidth="1"/>
    <col min="6181" max="6181" width="0.85546875" style="5" customWidth="1"/>
    <col min="6182" max="6182" width="8.42578125" style="5" customWidth="1"/>
    <col min="6183" max="6183" width="0.85546875" style="5" customWidth="1"/>
    <col min="6184" max="6184" width="9.85546875" style="5" customWidth="1"/>
    <col min="6185" max="6185" width="0.85546875" style="5" customWidth="1"/>
    <col min="6186" max="6186" width="16" style="5" customWidth="1"/>
    <col min="6187" max="6187" width="0.5703125" style="5" customWidth="1"/>
    <col min="6188" max="6188" width="9.42578125" style="5" bestFit="1" customWidth="1"/>
    <col min="6189" max="6189" width="1.140625" style="5" customWidth="1"/>
    <col min="6190" max="6420" width="9.140625" style="5"/>
    <col min="6421" max="6421" width="2.140625" style="5" customWidth="1"/>
    <col min="6422" max="6422" width="14" style="5" customWidth="1"/>
    <col min="6423" max="6423" width="0.7109375" style="5" customWidth="1"/>
    <col min="6424" max="6424" width="17.140625" style="5" customWidth="1"/>
    <col min="6425" max="6425" width="1.140625" style="5" customWidth="1"/>
    <col min="6426" max="6426" width="18.28515625" style="5" customWidth="1"/>
    <col min="6427" max="6427" width="1" style="5" customWidth="1"/>
    <col min="6428" max="6428" width="41.28515625" style="5" customWidth="1"/>
    <col min="6429" max="6429" width="1" style="5" customWidth="1"/>
    <col min="6430" max="6430" width="11.140625" style="5" customWidth="1"/>
    <col min="6431" max="6431" width="1.28515625" style="5" customWidth="1"/>
    <col min="6432" max="6432" width="10.7109375" style="5" customWidth="1"/>
    <col min="6433" max="6433" width="1" style="5" customWidth="1"/>
    <col min="6434" max="6434" width="10.42578125" style="5" customWidth="1"/>
    <col min="6435" max="6435" width="0.85546875" style="5" customWidth="1"/>
    <col min="6436" max="6436" width="14" style="5" customWidth="1"/>
    <col min="6437" max="6437" width="0.85546875" style="5" customWidth="1"/>
    <col min="6438" max="6438" width="8.42578125" style="5" customWidth="1"/>
    <col min="6439" max="6439" width="0.85546875" style="5" customWidth="1"/>
    <col min="6440" max="6440" width="9.85546875" style="5" customWidth="1"/>
    <col min="6441" max="6441" width="0.85546875" style="5" customWidth="1"/>
    <col min="6442" max="6442" width="16" style="5" customWidth="1"/>
    <col min="6443" max="6443" width="0.5703125" style="5" customWidth="1"/>
    <col min="6444" max="6444" width="9.42578125" style="5" bestFit="1" customWidth="1"/>
    <col min="6445" max="6445" width="1.140625" style="5" customWidth="1"/>
    <col min="6446" max="6676" width="9.140625" style="5"/>
    <col min="6677" max="6677" width="2.140625" style="5" customWidth="1"/>
    <col min="6678" max="6678" width="14" style="5" customWidth="1"/>
    <col min="6679" max="6679" width="0.7109375" style="5" customWidth="1"/>
    <col min="6680" max="6680" width="17.140625" style="5" customWidth="1"/>
    <col min="6681" max="6681" width="1.140625" style="5" customWidth="1"/>
    <col min="6682" max="6682" width="18.28515625" style="5" customWidth="1"/>
    <col min="6683" max="6683" width="1" style="5" customWidth="1"/>
    <col min="6684" max="6684" width="41.28515625" style="5" customWidth="1"/>
    <col min="6685" max="6685" width="1" style="5" customWidth="1"/>
    <col min="6686" max="6686" width="11.140625" style="5" customWidth="1"/>
    <col min="6687" max="6687" width="1.28515625" style="5" customWidth="1"/>
    <col min="6688" max="6688" width="10.7109375" style="5" customWidth="1"/>
    <col min="6689" max="6689" width="1" style="5" customWidth="1"/>
    <col min="6690" max="6690" width="10.42578125" style="5" customWidth="1"/>
    <col min="6691" max="6691" width="0.85546875" style="5" customWidth="1"/>
    <col min="6692" max="6692" width="14" style="5" customWidth="1"/>
    <col min="6693" max="6693" width="0.85546875" style="5" customWidth="1"/>
    <col min="6694" max="6694" width="8.42578125" style="5" customWidth="1"/>
    <col min="6695" max="6695" width="0.85546875" style="5" customWidth="1"/>
    <col min="6696" max="6696" width="9.85546875" style="5" customWidth="1"/>
    <col min="6697" max="6697" width="0.85546875" style="5" customWidth="1"/>
    <col min="6698" max="6698" width="16" style="5" customWidth="1"/>
    <col min="6699" max="6699" width="0.5703125" style="5" customWidth="1"/>
    <col min="6700" max="6700" width="9.42578125" style="5" bestFit="1" customWidth="1"/>
    <col min="6701" max="6701" width="1.140625" style="5" customWidth="1"/>
    <col min="6702" max="6932" width="9.140625" style="5"/>
    <col min="6933" max="6933" width="2.140625" style="5" customWidth="1"/>
    <col min="6934" max="6934" width="14" style="5" customWidth="1"/>
    <col min="6935" max="6935" width="0.7109375" style="5" customWidth="1"/>
    <col min="6936" max="6936" width="17.140625" style="5" customWidth="1"/>
    <col min="6937" max="6937" width="1.140625" style="5" customWidth="1"/>
    <col min="6938" max="6938" width="18.28515625" style="5" customWidth="1"/>
    <col min="6939" max="6939" width="1" style="5" customWidth="1"/>
    <col min="6940" max="6940" width="41.28515625" style="5" customWidth="1"/>
    <col min="6941" max="6941" width="1" style="5" customWidth="1"/>
    <col min="6942" max="6942" width="11.140625" style="5" customWidth="1"/>
    <col min="6943" max="6943" width="1.28515625" style="5" customWidth="1"/>
    <col min="6944" max="6944" width="10.7109375" style="5" customWidth="1"/>
    <col min="6945" max="6945" width="1" style="5" customWidth="1"/>
    <col min="6946" max="6946" width="10.42578125" style="5" customWidth="1"/>
    <col min="6947" max="6947" width="0.85546875" style="5" customWidth="1"/>
    <col min="6948" max="6948" width="14" style="5" customWidth="1"/>
    <col min="6949" max="6949" width="0.85546875" style="5" customWidth="1"/>
    <col min="6950" max="6950" width="8.42578125" style="5" customWidth="1"/>
    <col min="6951" max="6951" width="0.85546875" style="5" customWidth="1"/>
    <col min="6952" max="6952" width="9.85546875" style="5" customWidth="1"/>
    <col min="6953" max="6953" width="0.85546875" style="5" customWidth="1"/>
    <col min="6954" max="6954" width="16" style="5" customWidth="1"/>
    <col min="6955" max="6955" width="0.5703125" style="5" customWidth="1"/>
    <col min="6956" max="6956" width="9.42578125" style="5" bestFit="1" customWidth="1"/>
    <col min="6957" max="6957" width="1.140625" style="5" customWidth="1"/>
    <col min="6958" max="7188" width="9.140625" style="5"/>
    <col min="7189" max="7189" width="2.140625" style="5" customWidth="1"/>
    <col min="7190" max="7190" width="14" style="5" customWidth="1"/>
    <col min="7191" max="7191" width="0.7109375" style="5" customWidth="1"/>
    <col min="7192" max="7192" width="17.140625" style="5" customWidth="1"/>
    <col min="7193" max="7193" width="1.140625" style="5" customWidth="1"/>
    <col min="7194" max="7194" width="18.28515625" style="5" customWidth="1"/>
    <col min="7195" max="7195" width="1" style="5" customWidth="1"/>
    <col min="7196" max="7196" width="41.28515625" style="5" customWidth="1"/>
    <col min="7197" max="7197" width="1" style="5" customWidth="1"/>
    <col min="7198" max="7198" width="11.140625" style="5" customWidth="1"/>
    <col min="7199" max="7199" width="1.28515625" style="5" customWidth="1"/>
    <col min="7200" max="7200" width="10.7109375" style="5" customWidth="1"/>
    <col min="7201" max="7201" width="1" style="5" customWidth="1"/>
    <col min="7202" max="7202" width="10.42578125" style="5" customWidth="1"/>
    <col min="7203" max="7203" width="0.85546875" style="5" customWidth="1"/>
    <col min="7204" max="7204" width="14" style="5" customWidth="1"/>
    <col min="7205" max="7205" width="0.85546875" style="5" customWidth="1"/>
    <col min="7206" max="7206" width="8.42578125" style="5" customWidth="1"/>
    <col min="7207" max="7207" width="0.85546875" style="5" customWidth="1"/>
    <col min="7208" max="7208" width="9.85546875" style="5" customWidth="1"/>
    <col min="7209" max="7209" width="0.85546875" style="5" customWidth="1"/>
    <col min="7210" max="7210" width="16" style="5" customWidth="1"/>
    <col min="7211" max="7211" width="0.5703125" style="5" customWidth="1"/>
    <col min="7212" max="7212" width="9.42578125" style="5" bestFit="1" customWidth="1"/>
    <col min="7213" max="7213" width="1.140625" style="5" customWidth="1"/>
    <col min="7214" max="7444" width="9.140625" style="5"/>
    <col min="7445" max="7445" width="2.140625" style="5" customWidth="1"/>
    <col min="7446" max="7446" width="14" style="5" customWidth="1"/>
    <col min="7447" max="7447" width="0.7109375" style="5" customWidth="1"/>
    <col min="7448" max="7448" width="17.140625" style="5" customWidth="1"/>
    <col min="7449" max="7449" width="1.140625" style="5" customWidth="1"/>
    <col min="7450" max="7450" width="18.28515625" style="5" customWidth="1"/>
    <col min="7451" max="7451" width="1" style="5" customWidth="1"/>
    <col min="7452" max="7452" width="41.28515625" style="5" customWidth="1"/>
    <col min="7453" max="7453" width="1" style="5" customWidth="1"/>
    <col min="7454" max="7454" width="11.140625" style="5" customWidth="1"/>
    <col min="7455" max="7455" width="1.28515625" style="5" customWidth="1"/>
    <col min="7456" max="7456" width="10.7109375" style="5" customWidth="1"/>
    <col min="7457" max="7457" width="1" style="5" customWidth="1"/>
    <col min="7458" max="7458" width="10.42578125" style="5" customWidth="1"/>
    <col min="7459" max="7459" width="0.85546875" style="5" customWidth="1"/>
    <col min="7460" max="7460" width="14" style="5" customWidth="1"/>
    <col min="7461" max="7461" width="0.85546875" style="5" customWidth="1"/>
    <col min="7462" max="7462" width="8.42578125" style="5" customWidth="1"/>
    <col min="7463" max="7463" width="0.85546875" style="5" customWidth="1"/>
    <col min="7464" max="7464" width="9.85546875" style="5" customWidth="1"/>
    <col min="7465" max="7465" width="0.85546875" style="5" customWidth="1"/>
    <col min="7466" max="7466" width="16" style="5" customWidth="1"/>
    <col min="7467" max="7467" width="0.5703125" style="5" customWidth="1"/>
    <col min="7468" max="7468" width="9.42578125" style="5" bestFit="1" customWidth="1"/>
    <col min="7469" max="7469" width="1.140625" style="5" customWidth="1"/>
    <col min="7470" max="7700" width="9.140625" style="5"/>
    <col min="7701" max="7701" width="2.140625" style="5" customWidth="1"/>
    <col min="7702" max="7702" width="14" style="5" customWidth="1"/>
    <col min="7703" max="7703" width="0.7109375" style="5" customWidth="1"/>
    <col min="7704" max="7704" width="17.140625" style="5" customWidth="1"/>
    <col min="7705" max="7705" width="1.140625" style="5" customWidth="1"/>
    <col min="7706" max="7706" width="18.28515625" style="5" customWidth="1"/>
    <col min="7707" max="7707" width="1" style="5" customWidth="1"/>
    <col min="7708" max="7708" width="41.28515625" style="5" customWidth="1"/>
    <col min="7709" max="7709" width="1" style="5" customWidth="1"/>
    <col min="7710" max="7710" width="11.140625" style="5" customWidth="1"/>
    <col min="7711" max="7711" width="1.28515625" style="5" customWidth="1"/>
    <col min="7712" max="7712" width="10.7109375" style="5" customWidth="1"/>
    <col min="7713" max="7713" width="1" style="5" customWidth="1"/>
    <col min="7714" max="7714" width="10.42578125" style="5" customWidth="1"/>
    <col min="7715" max="7715" width="0.85546875" style="5" customWidth="1"/>
    <col min="7716" max="7716" width="14" style="5" customWidth="1"/>
    <col min="7717" max="7717" width="0.85546875" style="5" customWidth="1"/>
    <col min="7718" max="7718" width="8.42578125" style="5" customWidth="1"/>
    <col min="7719" max="7719" width="0.85546875" style="5" customWidth="1"/>
    <col min="7720" max="7720" width="9.85546875" style="5" customWidth="1"/>
    <col min="7721" max="7721" width="0.85546875" style="5" customWidth="1"/>
    <col min="7722" max="7722" width="16" style="5" customWidth="1"/>
    <col min="7723" max="7723" width="0.5703125" style="5" customWidth="1"/>
    <col min="7724" max="7724" width="9.42578125" style="5" bestFit="1" customWidth="1"/>
    <col min="7725" max="7725" width="1.140625" style="5" customWidth="1"/>
    <col min="7726" max="7956" width="9.140625" style="5"/>
    <col min="7957" max="7957" width="2.140625" style="5" customWidth="1"/>
    <col min="7958" max="7958" width="14" style="5" customWidth="1"/>
    <col min="7959" max="7959" width="0.7109375" style="5" customWidth="1"/>
    <col min="7960" max="7960" width="17.140625" style="5" customWidth="1"/>
    <col min="7961" max="7961" width="1.140625" style="5" customWidth="1"/>
    <col min="7962" max="7962" width="18.28515625" style="5" customWidth="1"/>
    <col min="7963" max="7963" width="1" style="5" customWidth="1"/>
    <col min="7964" max="7964" width="41.28515625" style="5" customWidth="1"/>
    <col min="7965" max="7965" width="1" style="5" customWidth="1"/>
    <col min="7966" max="7966" width="11.140625" style="5" customWidth="1"/>
    <col min="7967" max="7967" width="1.28515625" style="5" customWidth="1"/>
    <col min="7968" max="7968" width="10.7109375" style="5" customWidth="1"/>
    <col min="7969" max="7969" width="1" style="5" customWidth="1"/>
    <col min="7970" max="7970" width="10.42578125" style="5" customWidth="1"/>
    <col min="7971" max="7971" width="0.85546875" style="5" customWidth="1"/>
    <col min="7972" max="7972" width="14" style="5" customWidth="1"/>
    <col min="7973" max="7973" width="0.85546875" style="5" customWidth="1"/>
    <col min="7974" max="7974" width="8.42578125" style="5" customWidth="1"/>
    <col min="7975" max="7975" width="0.85546875" style="5" customWidth="1"/>
    <col min="7976" max="7976" width="9.85546875" style="5" customWidth="1"/>
    <col min="7977" max="7977" width="0.85546875" style="5" customWidth="1"/>
    <col min="7978" max="7978" width="16" style="5" customWidth="1"/>
    <col min="7979" max="7979" width="0.5703125" style="5" customWidth="1"/>
    <col min="7980" max="7980" width="9.42578125" style="5" bestFit="1" customWidth="1"/>
    <col min="7981" max="7981" width="1.140625" style="5" customWidth="1"/>
    <col min="7982" max="8212" width="9.140625" style="5"/>
    <col min="8213" max="8213" width="2.140625" style="5" customWidth="1"/>
    <col min="8214" max="8214" width="14" style="5" customWidth="1"/>
    <col min="8215" max="8215" width="0.7109375" style="5" customWidth="1"/>
    <col min="8216" max="8216" width="17.140625" style="5" customWidth="1"/>
    <col min="8217" max="8217" width="1.140625" style="5" customWidth="1"/>
    <col min="8218" max="8218" width="18.28515625" style="5" customWidth="1"/>
    <col min="8219" max="8219" width="1" style="5" customWidth="1"/>
    <col min="8220" max="8220" width="41.28515625" style="5" customWidth="1"/>
    <col min="8221" max="8221" width="1" style="5" customWidth="1"/>
    <col min="8222" max="8222" width="11.140625" style="5" customWidth="1"/>
    <col min="8223" max="8223" width="1.28515625" style="5" customWidth="1"/>
    <col min="8224" max="8224" width="10.7109375" style="5" customWidth="1"/>
    <col min="8225" max="8225" width="1" style="5" customWidth="1"/>
    <col min="8226" max="8226" width="10.42578125" style="5" customWidth="1"/>
    <col min="8227" max="8227" width="0.85546875" style="5" customWidth="1"/>
    <col min="8228" max="8228" width="14" style="5" customWidth="1"/>
    <col min="8229" max="8229" width="0.85546875" style="5" customWidth="1"/>
    <col min="8230" max="8230" width="8.42578125" style="5" customWidth="1"/>
    <col min="8231" max="8231" width="0.85546875" style="5" customWidth="1"/>
    <col min="8232" max="8232" width="9.85546875" style="5" customWidth="1"/>
    <col min="8233" max="8233" width="0.85546875" style="5" customWidth="1"/>
    <col min="8234" max="8234" width="16" style="5" customWidth="1"/>
    <col min="8235" max="8235" width="0.5703125" style="5" customWidth="1"/>
    <col min="8236" max="8236" width="9.42578125" style="5" bestFit="1" customWidth="1"/>
    <col min="8237" max="8237" width="1.140625" style="5" customWidth="1"/>
    <col min="8238" max="8468" width="9.140625" style="5"/>
    <col min="8469" max="8469" width="2.140625" style="5" customWidth="1"/>
    <col min="8470" max="8470" width="14" style="5" customWidth="1"/>
    <col min="8471" max="8471" width="0.7109375" style="5" customWidth="1"/>
    <col min="8472" max="8472" width="17.140625" style="5" customWidth="1"/>
    <col min="8473" max="8473" width="1.140625" style="5" customWidth="1"/>
    <col min="8474" max="8474" width="18.28515625" style="5" customWidth="1"/>
    <col min="8475" max="8475" width="1" style="5" customWidth="1"/>
    <col min="8476" max="8476" width="41.28515625" style="5" customWidth="1"/>
    <col min="8477" max="8477" width="1" style="5" customWidth="1"/>
    <col min="8478" max="8478" width="11.140625" style="5" customWidth="1"/>
    <col min="8479" max="8479" width="1.28515625" style="5" customWidth="1"/>
    <col min="8480" max="8480" width="10.7109375" style="5" customWidth="1"/>
    <col min="8481" max="8481" width="1" style="5" customWidth="1"/>
    <col min="8482" max="8482" width="10.42578125" style="5" customWidth="1"/>
    <col min="8483" max="8483" width="0.85546875" style="5" customWidth="1"/>
    <col min="8484" max="8484" width="14" style="5" customWidth="1"/>
    <col min="8485" max="8485" width="0.85546875" style="5" customWidth="1"/>
    <col min="8486" max="8486" width="8.42578125" style="5" customWidth="1"/>
    <col min="8487" max="8487" width="0.85546875" style="5" customWidth="1"/>
    <col min="8488" max="8488" width="9.85546875" style="5" customWidth="1"/>
    <col min="8489" max="8489" width="0.85546875" style="5" customWidth="1"/>
    <col min="8490" max="8490" width="16" style="5" customWidth="1"/>
    <col min="8491" max="8491" width="0.5703125" style="5" customWidth="1"/>
    <col min="8492" max="8492" width="9.42578125" style="5" bestFit="1" customWidth="1"/>
    <col min="8493" max="8493" width="1.140625" style="5" customWidth="1"/>
    <col min="8494" max="8724" width="9.140625" style="5"/>
    <col min="8725" max="8725" width="2.140625" style="5" customWidth="1"/>
    <col min="8726" max="8726" width="14" style="5" customWidth="1"/>
    <col min="8727" max="8727" width="0.7109375" style="5" customWidth="1"/>
    <col min="8728" max="8728" width="17.140625" style="5" customWidth="1"/>
    <col min="8729" max="8729" width="1.140625" style="5" customWidth="1"/>
    <col min="8730" max="8730" width="18.28515625" style="5" customWidth="1"/>
    <col min="8731" max="8731" width="1" style="5" customWidth="1"/>
    <col min="8732" max="8732" width="41.28515625" style="5" customWidth="1"/>
    <col min="8733" max="8733" width="1" style="5" customWidth="1"/>
    <col min="8734" max="8734" width="11.140625" style="5" customWidth="1"/>
    <col min="8735" max="8735" width="1.28515625" style="5" customWidth="1"/>
    <col min="8736" max="8736" width="10.7109375" style="5" customWidth="1"/>
    <col min="8737" max="8737" width="1" style="5" customWidth="1"/>
    <col min="8738" max="8738" width="10.42578125" style="5" customWidth="1"/>
    <col min="8739" max="8739" width="0.85546875" style="5" customWidth="1"/>
    <col min="8740" max="8740" width="14" style="5" customWidth="1"/>
    <col min="8741" max="8741" width="0.85546875" style="5" customWidth="1"/>
    <col min="8742" max="8742" width="8.42578125" style="5" customWidth="1"/>
    <col min="8743" max="8743" width="0.85546875" style="5" customWidth="1"/>
    <col min="8744" max="8744" width="9.85546875" style="5" customWidth="1"/>
    <col min="8745" max="8745" width="0.85546875" style="5" customWidth="1"/>
    <col min="8746" max="8746" width="16" style="5" customWidth="1"/>
    <col min="8747" max="8747" width="0.5703125" style="5" customWidth="1"/>
    <col min="8748" max="8748" width="9.42578125" style="5" bestFit="1" customWidth="1"/>
    <col min="8749" max="8749" width="1.140625" style="5" customWidth="1"/>
    <col min="8750" max="8980" width="9.140625" style="5"/>
    <col min="8981" max="8981" width="2.140625" style="5" customWidth="1"/>
    <col min="8982" max="8982" width="14" style="5" customWidth="1"/>
    <col min="8983" max="8983" width="0.7109375" style="5" customWidth="1"/>
    <col min="8984" max="8984" width="17.140625" style="5" customWidth="1"/>
    <col min="8985" max="8985" width="1.140625" style="5" customWidth="1"/>
    <col min="8986" max="8986" width="18.28515625" style="5" customWidth="1"/>
    <col min="8987" max="8987" width="1" style="5" customWidth="1"/>
    <col min="8988" max="8988" width="41.28515625" style="5" customWidth="1"/>
    <col min="8989" max="8989" width="1" style="5" customWidth="1"/>
    <col min="8990" max="8990" width="11.140625" style="5" customWidth="1"/>
    <col min="8991" max="8991" width="1.28515625" style="5" customWidth="1"/>
    <col min="8992" max="8992" width="10.7109375" style="5" customWidth="1"/>
    <col min="8993" max="8993" width="1" style="5" customWidth="1"/>
    <col min="8994" max="8994" width="10.42578125" style="5" customWidth="1"/>
    <col min="8995" max="8995" width="0.85546875" style="5" customWidth="1"/>
    <col min="8996" max="8996" width="14" style="5" customWidth="1"/>
    <col min="8997" max="8997" width="0.85546875" style="5" customWidth="1"/>
    <col min="8998" max="8998" width="8.42578125" style="5" customWidth="1"/>
    <col min="8999" max="8999" width="0.85546875" style="5" customWidth="1"/>
    <col min="9000" max="9000" width="9.85546875" style="5" customWidth="1"/>
    <col min="9001" max="9001" width="0.85546875" style="5" customWidth="1"/>
    <col min="9002" max="9002" width="16" style="5" customWidth="1"/>
    <col min="9003" max="9003" width="0.5703125" style="5" customWidth="1"/>
    <col min="9004" max="9004" width="9.42578125" style="5" bestFit="1" customWidth="1"/>
    <col min="9005" max="9005" width="1.140625" style="5" customWidth="1"/>
    <col min="9006" max="9236" width="9.140625" style="5"/>
    <col min="9237" max="9237" width="2.140625" style="5" customWidth="1"/>
    <col min="9238" max="9238" width="14" style="5" customWidth="1"/>
    <col min="9239" max="9239" width="0.7109375" style="5" customWidth="1"/>
    <col min="9240" max="9240" width="17.140625" style="5" customWidth="1"/>
    <col min="9241" max="9241" width="1.140625" style="5" customWidth="1"/>
    <col min="9242" max="9242" width="18.28515625" style="5" customWidth="1"/>
    <col min="9243" max="9243" width="1" style="5" customWidth="1"/>
    <col min="9244" max="9244" width="41.28515625" style="5" customWidth="1"/>
    <col min="9245" max="9245" width="1" style="5" customWidth="1"/>
    <col min="9246" max="9246" width="11.140625" style="5" customWidth="1"/>
    <col min="9247" max="9247" width="1.28515625" style="5" customWidth="1"/>
    <col min="9248" max="9248" width="10.7109375" style="5" customWidth="1"/>
    <col min="9249" max="9249" width="1" style="5" customWidth="1"/>
    <col min="9250" max="9250" width="10.42578125" style="5" customWidth="1"/>
    <col min="9251" max="9251" width="0.85546875" style="5" customWidth="1"/>
    <col min="9252" max="9252" width="14" style="5" customWidth="1"/>
    <col min="9253" max="9253" width="0.85546875" style="5" customWidth="1"/>
    <col min="9254" max="9254" width="8.42578125" style="5" customWidth="1"/>
    <col min="9255" max="9255" width="0.85546875" style="5" customWidth="1"/>
    <col min="9256" max="9256" width="9.85546875" style="5" customWidth="1"/>
    <col min="9257" max="9257" width="0.85546875" style="5" customWidth="1"/>
    <col min="9258" max="9258" width="16" style="5" customWidth="1"/>
    <col min="9259" max="9259" width="0.5703125" style="5" customWidth="1"/>
    <col min="9260" max="9260" width="9.42578125" style="5" bestFit="1" customWidth="1"/>
    <col min="9261" max="9261" width="1.140625" style="5" customWidth="1"/>
    <col min="9262" max="9492" width="9.140625" style="5"/>
    <col min="9493" max="9493" width="2.140625" style="5" customWidth="1"/>
    <col min="9494" max="9494" width="14" style="5" customWidth="1"/>
    <col min="9495" max="9495" width="0.7109375" style="5" customWidth="1"/>
    <col min="9496" max="9496" width="17.140625" style="5" customWidth="1"/>
    <col min="9497" max="9497" width="1.140625" style="5" customWidth="1"/>
    <col min="9498" max="9498" width="18.28515625" style="5" customWidth="1"/>
    <col min="9499" max="9499" width="1" style="5" customWidth="1"/>
    <col min="9500" max="9500" width="41.28515625" style="5" customWidth="1"/>
    <col min="9501" max="9501" width="1" style="5" customWidth="1"/>
    <col min="9502" max="9502" width="11.140625" style="5" customWidth="1"/>
    <col min="9503" max="9503" width="1.28515625" style="5" customWidth="1"/>
    <col min="9504" max="9504" width="10.7109375" style="5" customWidth="1"/>
    <col min="9505" max="9505" width="1" style="5" customWidth="1"/>
    <col min="9506" max="9506" width="10.42578125" style="5" customWidth="1"/>
    <col min="9507" max="9507" width="0.85546875" style="5" customWidth="1"/>
    <col min="9508" max="9508" width="14" style="5" customWidth="1"/>
    <col min="9509" max="9509" width="0.85546875" style="5" customWidth="1"/>
    <col min="9510" max="9510" width="8.42578125" style="5" customWidth="1"/>
    <col min="9511" max="9511" width="0.85546875" style="5" customWidth="1"/>
    <col min="9512" max="9512" width="9.85546875" style="5" customWidth="1"/>
    <col min="9513" max="9513" width="0.85546875" style="5" customWidth="1"/>
    <col min="9514" max="9514" width="16" style="5" customWidth="1"/>
    <col min="9515" max="9515" width="0.5703125" style="5" customWidth="1"/>
    <col min="9516" max="9516" width="9.42578125" style="5" bestFit="1" customWidth="1"/>
    <col min="9517" max="9517" width="1.140625" style="5" customWidth="1"/>
    <col min="9518" max="9748" width="9.140625" style="5"/>
    <col min="9749" max="9749" width="2.140625" style="5" customWidth="1"/>
    <col min="9750" max="9750" width="14" style="5" customWidth="1"/>
    <col min="9751" max="9751" width="0.7109375" style="5" customWidth="1"/>
    <col min="9752" max="9752" width="17.140625" style="5" customWidth="1"/>
    <col min="9753" max="9753" width="1.140625" style="5" customWidth="1"/>
    <col min="9754" max="9754" width="18.28515625" style="5" customWidth="1"/>
    <col min="9755" max="9755" width="1" style="5" customWidth="1"/>
    <col min="9756" max="9756" width="41.28515625" style="5" customWidth="1"/>
    <col min="9757" max="9757" width="1" style="5" customWidth="1"/>
    <col min="9758" max="9758" width="11.140625" style="5" customWidth="1"/>
    <col min="9759" max="9759" width="1.28515625" style="5" customWidth="1"/>
    <col min="9760" max="9760" width="10.7109375" style="5" customWidth="1"/>
    <col min="9761" max="9761" width="1" style="5" customWidth="1"/>
    <col min="9762" max="9762" width="10.42578125" style="5" customWidth="1"/>
    <col min="9763" max="9763" width="0.85546875" style="5" customWidth="1"/>
    <col min="9764" max="9764" width="14" style="5" customWidth="1"/>
    <col min="9765" max="9765" width="0.85546875" style="5" customWidth="1"/>
    <col min="9766" max="9766" width="8.42578125" style="5" customWidth="1"/>
    <col min="9767" max="9767" width="0.85546875" style="5" customWidth="1"/>
    <col min="9768" max="9768" width="9.85546875" style="5" customWidth="1"/>
    <col min="9769" max="9769" width="0.85546875" style="5" customWidth="1"/>
    <col min="9770" max="9770" width="16" style="5" customWidth="1"/>
    <col min="9771" max="9771" width="0.5703125" style="5" customWidth="1"/>
    <col min="9772" max="9772" width="9.42578125" style="5" bestFit="1" customWidth="1"/>
    <col min="9773" max="9773" width="1.140625" style="5" customWidth="1"/>
    <col min="9774" max="10004" width="9.140625" style="5"/>
    <col min="10005" max="10005" width="2.140625" style="5" customWidth="1"/>
    <col min="10006" max="10006" width="14" style="5" customWidth="1"/>
    <col min="10007" max="10007" width="0.7109375" style="5" customWidth="1"/>
    <col min="10008" max="10008" width="17.140625" style="5" customWidth="1"/>
    <col min="10009" max="10009" width="1.140625" style="5" customWidth="1"/>
    <col min="10010" max="10010" width="18.28515625" style="5" customWidth="1"/>
    <col min="10011" max="10011" width="1" style="5" customWidth="1"/>
    <col min="10012" max="10012" width="41.28515625" style="5" customWidth="1"/>
    <col min="10013" max="10013" width="1" style="5" customWidth="1"/>
    <col min="10014" max="10014" width="11.140625" style="5" customWidth="1"/>
    <col min="10015" max="10015" width="1.28515625" style="5" customWidth="1"/>
    <col min="10016" max="10016" width="10.7109375" style="5" customWidth="1"/>
    <col min="10017" max="10017" width="1" style="5" customWidth="1"/>
    <col min="10018" max="10018" width="10.42578125" style="5" customWidth="1"/>
    <col min="10019" max="10019" width="0.85546875" style="5" customWidth="1"/>
    <col min="10020" max="10020" width="14" style="5" customWidth="1"/>
    <col min="10021" max="10021" width="0.85546875" style="5" customWidth="1"/>
    <col min="10022" max="10022" width="8.42578125" style="5" customWidth="1"/>
    <col min="10023" max="10023" width="0.85546875" style="5" customWidth="1"/>
    <col min="10024" max="10024" width="9.85546875" style="5" customWidth="1"/>
    <col min="10025" max="10025" width="0.85546875" style="5" customWidth="1"/>
    <col min="10026" max="10026" width="16" style="5" customWidth="1"/>
    <col min="10027" max="10027" width="0.5703125" style="5" customWidth="1"/>
    <col min="10028" max="10028" width="9.42578125" style="5" bestFit="1" customWidth="1"/>
    <col min="10029" max="10029" width="1.140625" style="5" customWidth="1"/>
    <col min="10030" max="10260" width="9.140625" style="5"/>
    <col min="10261" max="10261" width="2.140625" style="5" customWidth="1"/>
    <col min="10262" max="10262" width="14" style="5" customWidth="1"/>
    <col min="10263" max="10263" width="0.7109375" style="5" customWidth="1"/>
    <col min="10264" max="10264" width="17.140625" style="5" customWidth="1"/>
    <col min="10265" max="10265" width="1.140625" style="5" customWidth="1"/>
    <col min="10266" max="10266" width="18.28515625" style="5" customWidth="1"/>
    <col min="10267" max="10267" width="1" style="5" customWidth="1"/>
    <col min="10268" max="10268" width="41.28515625" style="5" customWidth="1"/>
    <col min="10269" max="10269" width="1" style="5" customWidth="1"/>
    <col min="10270" max="10270" width="11.140625" style="5" customWidth="1"/>
    <col min="10271" max="10271" width="1.28515625" style="5" customWidth="1"/>
    <col min="10272" max="10272" width="10.7109375" style="5" customWidth="1"/>
    <col min="10273" max="10273" width="1" style="5" customWidth="1"/>
    <col min="10274" max="10274" width="10.42578125" style="5" customWidth="1"/>
    <col min="10275" max="10275" width="0.85546875" style="5" customWidth="1"/>
    <col min="10276" max="10276" width="14" style="5" customWidth="1"/>
    <col min="10277" max="10277" width="0.85546875" style="5" customWidth="1"/>
    <col min="10278" max="10278" width="8.42578125" style="5" customWidth="1"/>
    <col min="10279" max="10279" width="0.85546875" style="5" customWidth="1"/>
    <col min="10280" max="10280" width="9.85546875" style="5" customWidth="1"/>
    <col min="10281" max="10281" width="0.85546875" style="5" customWidth="1"/>
    <col min="10282" max="10282" width="16" style="5" customWidth="1"/>
    <col min="10283" max="10283" width="0.5703125" style="5" customWidth="1"/>
    <col min="10284" max="10284" width="9.42578125" style="5" bestFit="1" customWidth="1"/>
    <col min="10285" max="10285" width="1.140625" style="5" customWidth="1"/>
    <col min="10286" max="10516" width="9.140625" style="5"/>
    <col min="10517" max="10517" width="2.140625" style="5" customWidth="1"/>
    <col min="10518" max="10518" width="14" style="5" customWidth="1"/>
    <col min="10519" max="10519" width="0.7109375" style="5" customWidth="1"/>
    <col min="10520" max="10520" width="17.140625" style="5" customWidth="1"/>
    <col min="10521" max="10521" width="1.140625" style="5" customWidth="1"/>
    <col min="10522" max="10522" width="18.28515625" style="5" customWidth="1"/>
    <col min="10523" max="10523" width="1" style="5" customWidth="1"/>
    <col min="10524" max="10524" width="41.28515625" style="5" customWidth="1"/>
    <col min="10525" max="10525" width="1" style="5" customWidth="1"/>
    <col min="10526" max="10526" width="11.140625" style="5" customWidth="1"/>
    <col min="10527" max="10527" width="1.28515625" style="5" customWidth="1"/>
    <col min="10528" max="10528" width="10.7109375" style="5" customWidth="1"/>
    <col min="10529" max="10529" width="1" style="5" customWidth="1"/>
    <col min="10530" max="10530" width="10.42578125" style="5" customWidth="1"/>
    <col min="10531" max="10531" width="0.85546875" style="5" customWidth="1"/>
    <col min="10532" max="10532" width="14" style="5" customWidth="1"/>
    <col min="10533" max="10533" width="0.85546875" style="5" customWidth="1"/>
    <col min="10534" max="10534" width="8.42578125" style="5" customWidth="1"/>
    <col min="10535" max="10535" width="0.85546875" style="5" customWidth="1"/>
    <col min="10536" max="10536" width="9.85546875" style="5" customWidth="1"/>
    <col min="10537" max="10537" width="0.85546875" style="5" customWidth="1"/>
    <col min="10538" max="10538" width="16" style="5" customWidth="1"/>
    <col min="10539" max="10539" width="0.5703125" style="5" customWidth="1"/>
    <col min="10540" max="10540" width="9.42578125" style="5" bestFit="1" customWidth="1"/>
    <col min="10541" max="10541" width="1.140625" style="5" customWidth="1"/>
    <col min="10542" max="10772" width="9.140625" style="5"/>
    <col min="10773" max="10773" width="2.140625" style="5" customWidth="1"/>
    <col min="10774" max="10774" width="14" style="5" customWidth="1"/>
    <col min="10775" max="10775" width="0.7109375" style="5" customWidth="1"/>
    <col min="10776" max="10776" width="17.140625" style="5" customWidth="1"/>
    <col min="10777" max="10777" width="1.140625" style="5" customWidth="1"/>
    <col min="10778" max="10778" width="18.28515625" style="5" customWidth="1"/>
    <col min="10779" max="10779" width="1" style="5" customWidth="1"/>
    <col min="10780" max="10780" width="41.28515625" style="5" customWidth="1"/>
    <col min="10781" max="10781" width="1" style="5" customWidth="1"/>
    <col min="10782" max="10782" width="11.140625" style="5" customWidth="1"/>
    <col min="10783" max="10783" width="1.28515625" style="5" customWidth="1"/>
    <col min="10784" max="10784" width="10.7109375" style="5" customWidth="1"/>
    <col min="10785" max="10785" width="1" style="5" customWidth="1"/>
    <col min="10786" max="10786" width="10.42578125" style="5" customWidth="1"/>
    <col min="10787" max="10787" width="0.85546875" style="5" customWidth="1"/>
    <col min="10788" max="10788" width="14" style="5" customWidth="1"/>
    <col min="10789" max="10789" width="0.85546875" style="5" customWidth="1"/>
    <col min="10790" max="10790" width="8.42578125" style="5" customWidth="1"/>
    <col min="10791" max="10791" width="0.85546875" style="5" customWidth="1"/>
    <col min="10792" max="10792" width="9.85546875" style="5" customWidth="1"/>
    <col min="10793" max="10793" width="0.85546875" style="5" customWidth="1"/>
    <col min="10794" max="10794" width="16" style="5" customWidth="1"/>
    <col min="10795" max="10795" width="0.5703125" style="5" customWidth="1"/>
    <col min="10796" max="10796" width="9.42578125" style="5" bestFit="1" customWidth="1"/>
    <col min="10797" max="10797" width="1.140625" style="5" customWidth="1"/>
    <col min="10798" max="11028" width="9.140625" style="5"/>
    <col min="11029" max="11029" width="2.140625" style="5" customWidth="1"/>
    <col min="11030" max="11030" width="14" style="5" customWidth="1"/>
    <col min="11031" max="11031" width="0.7109375" style="5" customWidth="1"/>
    <col min="11032" max="11032" width="17.140625" style="5" customWidth="1"/>
    <col min="11033" max="11033" width="1.140625" style="5" customWidth="1"/>
    <col min="11034" max="11034" width="18.28515625" style="5" customWidth="1"/>
    <col min="11035" max="11035" width="1" style="5" customWidth="1"/>
    <col min="11036" max="11036" width="41.28515625" style="5" customWidth="1"/>
    <col min="11037" max="11037" width="1" style="5" customWidth="1"/>
    <col min="11038" max="11038" width="11.140625" style="5" customWidth="1"/>
    <col min="11039" max="11039" width="1.28515625" style="5" customWidth="1"/>
    <col min="11040" max="11040" width="10.7109375" style="5" customWidth="1"/>
    <col min="11041" max="11041" width="1" style="5" customWidth="1"/>
    <col min="11042" max="11042" width="10.42578125" style="5" customWidth="1"/>
    <col min="11043" max="11043" width="0.85546875" style="5" customWidth="1"/>
    <col min="11044" max="11044" width="14" style="5" customWidth="1"/>
    <col min="11045" max="11045" width="0.85546875" style="5" customWidth="1"/>
    <col min="11046" max="11046" width="8.42578125" style="5" customWidth="1"/>
    <col min="11047" max="11047" width="0.85546875" style="5" customWidth="1"/>
    <col min="11048" max="11048" width="9.85546875" style="5" customWidth="1"/>
    <col min="11049" max="11049" width="0.85546875" style="5" customWidth="1"/>
    <col min="11050" max="11050" width="16" style="5" customWidth="1"/>
    <col min="11051" max="11051" width="0.5703125" style="5" customWidth="1"/>
    <col min="11052" max="11052" width="9.42578125" style="5" bestFit="1" customWidth="1"/>
    <col min="11053" max="11053" width="1.140625" style="5" customWidth="1"/>
    <col min="11054" max="11284" width="9.140625" style="5"/>
    <col min="11285" max="11285" width="2.140625" style="5" customWidth="1"/>
    <col min="11286" max="11286" width="14" style="5" customWidth="1"/>
    <col min="11287" max="11287" width="0.7109375" style="5" customWidth="1"/>
    <col min="11288" max="11288" width="17.140625" style="5" customWidth="1"/>
    <col min="11289" max="11289" width="1.140625" style="5" customWidth="1"/>
    <col min="11290" max="11290" width="18.28515625" style="5" customWidth="1"/>
    <col min="11291" max="11291" width="1" style="5" customWidth="1"/>
    <col min="11292" max="11292" width="41.28515625" style="5" customWidth="1"/>
    <col min="11293" max="11293" width="1" style="5" customWidth="1"/>
    <col min="11294" max="11294" width="11.140625" style="5" customWidth="1"/>
    <col min="11295" max="11295" width="1.28515625" style="5" customWidth="1"/>
    <col min="11296" max="11296" width="10.7109375" style="5" customWidth="1"/>
    <col min="11297" max="11297" width="1" style="5" customWidth="1"/>
    <col min="11298" max="11298" width="10.42578125" style="5" customWidth="1"/>
    <col min="11299" max="11299" width="0.85546875" style="5" customWidth="1"/>
    <col min="11300" max="11300" width="14" style="5" customWidth="1"/>
    <col min="11301" max="11301" width="0.85546875" style="5" customWidth="1"/>
    <col min="11302" max="11302" width="8.42578125" style="5" customWidth="1"/>
    <col min="11303" max="11303" width="0.85546875" style="5" customWidth="1"/>
    <col min="11304" max="11304" width="9.85546875" style="5" customWidth="1"/>
    <col min="11305" max="11305" width="0.85546875" style="5" customWidth="1"/>
    <col min="11306" max="11306" width="16" style="5" customWidth="1"/>
    <col min="11307" max="11307" width="0.5703125" style="5" customWidth="1"/>
    <col min="11308" max="11308" width="9.42578125" style="5" bestFit="1" customWidth="1"/>
    <col min="11309" max="11309" width="1.140625" style="5" customWidth="1"/>
    <col min="11310" max="11540" width="9.140625" style="5"/>
    <col min="11541" max="11541" width="2.140625" style="5" customWidth="1"/>
    <col min="11542" max="11542" width="14" style="5" customWidth="1"/>
    <col min="11543" max="11543" width="0.7109375" style="5" customWidth="1"/>
    <col min="11544" max="11544" width="17.140625" style="5" customWidth="1"/>
    <col min="11545" max="11545" width="1.140625" style="5" customWidth="1"/>
    <col min="11546" max="11546" width="18.28515625" style="5" customWidth="1"/>
    <col min="11547" max="11547" width="1" style="5" customWidth="1"/>
    <col min="11548" max="11548" width="41.28515625" style="5" customWidth="1"/>
    <col min="11549" max="11549" width="1" style="5" customWidth="1"/>
    <col min="11550" max="11550" width="11.140625" style="5" customWidth="1"/>
    <col min="11551" max="11551" width="1.28515625" style="5" customWidth="1"/>
    <col min="11552" max="11552" width="10.7109375" style="5" customWidth="1"/>
    <col min="11553" max="11553" width="1" style="5" customWidth="1"/>
    <col min="11554" max="11554" width="10.42578125" style="5" customWidth="1"/>
    <col min="11555" max="11555" width="0.85546875" style="5" customWidth="1"/>
    <col min="11556" max="11556" width="14" style="5" customWidth="1"/>
    <col min="11557" max="11557" width="0.85546875" style="5" customWidth="1"/>
    <col min="11558" max="11558" width="8.42578125" style="5" customWidth="1"/>
    <col min="11559" max="11559" width="0.85546875" style="5" customWidth="1"/>
    <col min="11560" max="11560" width="9.85546875" style="5" customWidth="1"/>
    <col min="11561" max="11561" width="0.85546875" style="5" customWidth="1"/>
    <col min="11562" max="11562" width="16" style="5" customWidth="1"/>
    <col min="11563" max="11563" width="0.5703125" style="5" customWidth="1"/>
    <col min="11564" max="11564" width="9.42578125" style="5" bestFit="1" customWidth="1"/>
    <col min="11565" max="11565" width="1.140625" style="5" customWidth="1"/>
    <col min="11566" max="11796" width="9.140625" style="5"/>
    <col min="11797" max="11797" width="2.140625" style="5" customWidth="1"/>
    <col min="11798" max="11798" width="14" style="5" customWidth="1"/>
    <col min="11799" max="11799" width="0.7109375" style="5" customWidth="1"/>
    <col min="11800" max="11800" width="17.140625" style="5" customWidth="1"/>
    <col min="11801" max="11801" width="1.140625" style="5" customWidth="1"/>
    <col min="11802" max="11802" width="18.28515625" style="5" customWidth="1"/>
    <col min="11803" max="11803" width="1" style="5" customWidth="1"/>
    <col min="11804" max="11804" width="41.28515625" style="5" customWidth="1"/>
    <col min="11805" max="11805" width="1" style="5" customWidth="1"/>
    <col min="11806" max="11806" width="11.140625" style="5" customWidth="1"/>
    <col min="11807" max="11807" width="1.28515625" style="5" customWidth="1"/>
    <col min="11808" max="11808" width="10.7109375" style="5" customWidth="1"/>
    <col min="11809" max="11809" width="1" style="5" customWidth="1"/>
    <col min="11810" max="11810" width="10.42578125" style="5" customWidth="1"/>
    <col min="11811" max="11811" width="0.85546875" style="5" customWidth="1"/>
    <col min="11812" max="11812" width="14" style="5" customWidth="1"/>
    <col min="11813" max="11813" width="0.85546875" style="5" customWidth="1"/>
    <col min="11814" max="11814" width="8.42578125" style="5" customWidth="1"/>
    <col min="11815" max="11815" width="0.85546875" style="5" customWidth="1"/>
    <col min="11816" max="11816" width="9.85546875" style="5" customWidth="1"/>
    <col min="11817" max="11817" width="0.85546875" style="5" customWidth="1"/>
    <col min="11818" max="11818" width="16" style="5" customWidth="1"/>
    <col min="11819" max="11819" width="0.5703125" style="5" customWidth="1"/>
    <col min="11820" max="11820" width="9.42578125" style="5" bestFit="1" customWidth="1"/>
    <col min="11821" max="11821" width="1.140625" style="5" customWidth="1"/>
    <col min="11822" max="12052" width="9.140625" style="5"/>
    <col min="12053" max="12053" width="2.140625" style="5" customWidth="1"/>
    <col min="12054" max="12054" width="14" style="5" customWidth="1"/>
    <col min="12055" max="12055" width="0.7109375" style="5" customWidth="1"/>
    <col min="12056" max="12056" width="17.140625" style="5" customWidth="1"/>
    <col min="12057" max="12057" width="1.140625" style="5" customWidth="1"/>
    <col min="12058" max="12058" width="18.28515625" style="5" customWidth="1"/>
    <col min="12059" max="12059" width="1" style="5" customWidth="1"/>
    <col min="12060" max="12060" width="41.28515625" style="5" customWidth="1"/>
    <col min="12061" max="12061" width="1" style="5" customWidth="1"/>
    <col min="12062" max="12062" width="11.140625" style="5" customWidth="1"/>
    <col min="12063" max="12063" width="1.28515625" style="5" customWidth="1"/>
    <col min="12064" max="12064" width="10.7109375" style="5" customWidth="1"/>
    <col min="12065" max="12065" width="1" style="5" customWidth="1"/>
    <col min="12066" max="12066" width="10.42578125" style="5" customWidth="1"/>
    <col min="12067" max="12067" width="0.85546875" style="5" customWidth="1"/>
    <col min="12068" max="12068" width="14" style="5" customWidth="1"/>
    <col min="12069" max="12069" width="0.85546875" style="5" customWidth="1"/>
    <col min="12070" max="12070" width="8.42578125" style="5" customWidth="1"/>
    <col min="12071" max="12071" width="0.85546875" style="5" customWidth="1"/>
    <col min="12072" max="12072" width="9.85546875" style="5" customWidth="1"/>
    <col min="12073" max="12073" width="0.85546875" style="5" customWidth="1"/>
    <col min="12074" max="12074" width="16" style="5" customWidth="1"/>
    <col min="12075" max="12075" width="0.5703125" style="5" customWidth="1"/>
    <col min="12076" max="12076" width="9.42578125" style="5" bestFit="1" customWidth="1"/>
    <col min="12077" max="12077" width="1.140625" style="5" customWidth="1"/>
    <col min="12078" max="12308" width="9.140625" style="5"/>
    <col min="12309" max="12309" width="2.140625" style="5" customWidth="1"/>
    <col min="12310" max="12310" width="14" style="5" customWidth="1"/>
    <col min="12311" max="12311" width="0.7109375" style="5" customWidth="1"/>
    <col min="12312" max="12312" width="17.140625" style="5" customWidth="1"/>
    <col min="12313" max="12313" width="1.140625" style="5" customWidth="1"/>
    <col min="12314" max="12314" width="18.28515625" style="5" customWidth="1"/>
    <col min="12315" max="12315" width="1" style="5" customWidth="1"/>
    <col min="12316" max="12316" width="41.28515625" style="5" customWidth="1"/>
    <col min="12317" max="12317" width="1" style="5" customWidth="1"/>
    <col min="12318" max="12318" width="11.140625" style="5" customWidth="1"/>
    <col min="12319" max="12319" width="1.28515625" style="5" customWidth="1"/>
    <col min="12320" max="12320" width="10.7109375" style="5" customWidth="1"/>
    <col min="12321" max="12321" width="1" style="5" customWidth="1"/>
    <col min="12322" max="12322" width="10.42578125" style="5" customWidth="1"/>
    <col min="12323" max="12323" width="0.85546875" style="5" customWidth="1"/>
    <col min="12324" max="12324" width="14" style="5" customWidth="1"/>
    <col min="12325" max="12325" width="0.85546875" style="5" customWidth="1"/>
    <col min="12326" max="12326" width="8.42578125" style="5" customWidth="1"/>
    <col min="12327" max="12327" width="0.85546875" style="5" customWidth="1"/>
    <col min="12328" max="12328" width="9.85546875" style="5" customWidth="1"/>
    <col min="12329" max="12329" width="0.85546875" style="5" customWidth="1"/>
    <col min="12330" max="12330" width="16" style="5" customWidth="1"/>
    <col min="12331" max="12331" width="0.5703125" style="5" customWidth="1"/>
    <col min="12332" max="12332" width="9.42578125" style="5" bestFit="1" customWidth="1"/>
    <col min="12333" max="12333" width="1.140625" style="5" customWidth="1"/>
    <col min="12334" max="12564" width="9.140625" style="5"/>
    <col min="12565" max="12565" width="2.140625" style="5" customWidth="1"/>
    <col min="12566" max="12566" width="14" style="5" customWidth="1"/>
    <col min="12567" max="12567" width="0.7109375" style="5" customWidth="1"/>
    <col min="12568" max="12568" width="17.140625" style="5" customWidth="1"/>
    <col min="12569" max="12569" width="1.140625" style="5" customWidth="1"/>
    <col min="12570" max="12570" width="18.28515625" style="5" customWidth="1"/>
    <col min="12571" max="12571" width="1" style="5" customWidth="1"/>
    <col min="12572" max="12572" width="41.28515625" style="5" customWidth="1"/>
    <col min="12573" max="12573" width="1" style="5" customWidth="1"/>
    <col min="12574" max="12574" width="11.140625" style="5" customWidth="1"/>
    <col min="12575" max="12575" width="1.28515625" style="5" customWidth="1"/>
    <col min="12576" max="12576" width="10.7109375" style="5" customWidth="1"/>
    <col min="12577" max="12577" width="1" style="5" customWidth="1"/>
    <col min="12578" max="12578" width="10.42578125" style="5" customWidth="1"/>
    <col min="12579" max="12579" width="0.85546875" style="5" customWidth="1"/>
    <col min="12580" max="12580" width="14" style="5" customWidth="1"/>
    <col min="12581" max="12581" width="0.85546875" style="5" customWidth="1"/>
    <col min="12582" max="12582" width="8.42578125" style="5" customWidth="1"/>
    <col min="12583" max="12583" width="0.85546875" style="5" customWidth="1"/>
    <col min="12584" max="12584" width="9.85546875" style="5" customWidth="1"/>
    <col min="12585" max="12585" width="0.85546875" style="5" customWidth="1"/>
    <col min="12586" max="12586" width="16" style="5" customWidth="1"/>
    <col min="12587" max="12587" width="0.5703125" style="5" customWidth="1"/>
    <col min="12588" max="12588" width="9.42578125" style="5" bestFit="1" customWidth="1"/>
    <col min="12589" max="12589" width="1.140625" style="5" customWidth="1"/>
    <col min="12590" max="12820" width="9.140625" style="5"/>
    <col min="12821" max="12821" width="2.140625" style="5" customWidth="1"/>
    <col min="12822" max="12822" width="14" style="5" customWidth="1"/>
    <col min="12823" max="12823" width="0.7109375" style="5" customWidth="1"/>
    <col min="12824" max="12824" width="17.140625" style="5" customWidth="1"/>
    <col min="12825" max="12825" width="1.140625" style="5" customWidth="1"/>
    <col min="12826" max="12826" width="18.28515625" style="5" customWidth="1"/>
    <col min="12827" max="12827" width="1" style="5" customWidth="1"/>
    <col min="12828" max="12828" width="41.28515625" style="5" customWidth="1"/>
    <col min="12829" max="12829" width="1" style="5" customWidth="1"/>
    <col min="12830" max="12830" width="11.140625" style="5" customWidth="1"/>
    <col min="12831" max="12831" width="1.28515625" style="5" customWidth="1"/>
    <col min="12832" max="12832" width="10.7109375" style="5" customWidth="1"/>
    <col min="12833" max="12833" width="1" style="5" customWidth="1"/>
    <col min="12834" max="12834" width="10.42578125" style="5" customWidth="1"/>
    <col min="12835" max="12835" width="0.85546875" style="5" customWidth="1"/>
    <col min="12836" max="12836" width="14" style="5" customWidth="1"/>
    <col min="12837" max="12837" width="0.85546875" style="5" customWidth="1"/>
    <col min="12838" max="12838" width="8.42578125" style="5" customWidth="1"/>
    <col min="12839" max="12839" width="0.85546875" style="5" customWidth="1"/>
    <col min="12840" max="12840" width="9.85546875" style="5" customWidth="1"/>
    <col min="12841" max="12841" width="0.85546875" style="5" customWidth="1"/>
    <col min="12842" max="12842" width="16" style="5" customWidth="1"/>
    <col min="12843" max="12843" width="0.5703125" style="5" customWidth="1"/>
    <col min="12844" max="12844" width="9.42578125" style="5" bestFit="1" customWidth="1"/>
    <col min="12845" max="12845" width="1.140625" style="5" customWidth="1"/>
    <col min="12846" max="13076" width="9.140625" style="5"/>
    <col min="13077" max="13077" width="2.140625" style="5" customWidth="1"/>
    <col min="13078" max="13078" width="14" style="5" customWidth="1"/>
    <col min="13079" max="13079" width="0.7109375" style="5" customWidth="1"/>
    <col min="13080" max="13080" width="17.140625" style="5" customWidth="1"/>
    <col min="13081" max="13081" width="1.140625" style="5" customWidth="1"/>
    <col min="13082" max="13082" width="18.28515625" style="5" customWidth="1"/>
    <col min="13083" max="13083" width="1" style="5" customWidth="1"/>
    <col min="13084" max="13084" width="41.28515625" style="5" customWidth="1"/>
    <col min="13085" max="13085" width="1" style="5" customWidth="1"/>
    <col min="13086" max="13086" width="11.140625" style="5" customWidth="1"/>
    <col min="13087" max="13087" width="1.28515625" style="5" customWidth="1"/>
    <col min="13088" max="13088" width="10.7109375" style="5" customWidth="1"/>
    <col min="13089" max="13089" width="1" style="5" customWidth="1"/>
    <col min="13090" max="13090" width="10.42578125" style="5" customWidth="1"/>
    <col min="13091" max="13091" width="0.85546875" style="5" customWidth="1"/>
    <col min="13092" max="13092" width="14" style="5" customWidth="1"/>
    <col min="13093" max="13093" width="0.85546875" style="5" customWidth="1"/>
    <col min="13094" max="13094" width="8.42578125" style="5" customWidth="1"/>
    <col min="13095" max="13095" width="0.85546875" style="5" customWidth="1"/>
    <col min="13096" max="13096" width="9.85546875" style="5" customWidth="1"/>
    <col min="13097" max="13097" width="0.85546875" style="5" customWidth="1"/>
    <col min="13098" max="13098" width="16" style="5" customWidth="1"/>
    <col min="13099" max="13099" width="0.5703125" style="5" customWidth="1"/>
    <col min="13100" max="13100" width="9.42578125" style="5" bestFit="1" customWidth="1"/>
    <col min="13101" max="13101" width="1.140625" style="5" customWidth="1"/>
    <col min="13102" max="13332" width="9.140625" style="5"/>
    <col min="13333" max="13333" width="2.140625" style="5" customWidth="1"/>
    <col min="13334" max="13334" width="14" style="5" customWidth="1"/>
    <col min="13335" max="13335" width="0.7109375" style="5" customWidth="1"/>
    <col min="13336" max="13336" width="17.140625" style="5" customWidth="1"/>
    <col min="13337" max="13337" width="1.140625" style="5" customWidth="1"/>
    <col min="13338" max="13338" width="18.28515625" style="5" customWidth="1"/>
    <col min="13339" max="13339" width="1" style="5" customWidth="1"/>
    <col min="13340" max="13340" width="41.28515625" style="5" customWidth="1"/>
    <col min="13341" max="13341" width="1" style="5" customWidth="1"/>
    <col min="13342" max="13342" width="11.140625" style="5" customWidth="1"/>
    <col min="13343" max="13343" width="1.28515625" style="5" customWidth="1"/>
    <col min="13344" max="13344" width="10.7109375" style="5" customWidth="1"/>
    <col min="13345" max="13345" width="1" style="5" customWidth="1"/>
    <col min="13346" max="13346" width="10.42578125" style="5" customWidth="1"/>
    <col min="13347" max="13347" width="0.85546875" style="5" customWidth="1"/>
    <col min="13348" max="13348" width="14" style="5" customWidth="1"/>
    <col min="13349" max="13349" width="0.85546875" style="5" customWidth="1"/>
    <col min="13350" max="13350" width="8.42578125" style="5" customWidth="1"/>
    <col min="13351" max="13351" width="0.85546875" style="5" customWidth="1"/>
    <col min="13352" max="13352" width="9.85546875" style="5" customWidth="1"/>
    <col min="13353" max="13353" width="0.85546875" style="5" customWidth="1"/>
    <col min="13354" max="13354" width="16" style="5" customWidth="1"/>
    <col min="13355" max="13355" width="0.5703125" style="5" customWidth="1"/>
    <col min="13356" max="13356" width="9.42578125" style="5" bestFit="1" customWidth="1"/>
    <col min="13357" max="13357" width="1.140625" style="5" customWidth="1"/>
    <col min="13358" max="13588" width="9.140625" style="5"/>
    <col min="13589" max="13589" width="2.140625" style="5" customWidth="1"/>
    <col min="13590" max="13590" width="14" style="5" customWidth="1"/>
    <col min="13591" max="13591" width="0.7109375" style="5" customWidth="1"/>
    <col min="13592" max="13592" width="17.140625" style="5" customWidth="1"/>
    <col min="13593" max="13593" width="1.140625" style="5" customWidth="1"/>
    <col min="13594" max="13594" width="18.28515625" style="5" customWidth="1"/>
    <col min="13595" max="13595" width="1" style="5" customWidth="1"/>
    <col min="13596" max="13596" width="41.28515625" style="5" customWidth="1"/>
    <col min="13597" max="13597" width="1" style="5" customWidth="1"/>
    <col min="13598" max="13598" width="11.140625" style="5" customWidth="1"/>
    <col min="13599" max="13599" width="1.28515625" style="5" customWidth="1"/>
    <col min="13600" max="13600" width="10.7109375" style="5" customWidth="1"/>
    <col min="13601" max="13601" width="1" style="5" customWidth="1"/>
    <col min="13602" max="13602" width="10.42578125" style="5" customWidth="1"/>
    <col min="13603" max="13603" width="0.85546875" style="5" customWidth="1"/>
    <col min="13604" max="13604" width="14" style="5" customWidth="1"/>
    <col min="13605" max="13605" width="0.85546875" style="5" customWidth="1"/>
    <col min="13606" max="13606" width="8.42578125" style="5" customWidth="1"/>
    <col min="13607" max="13607" width="0.85546875" style="5" customWidth="1"/>
    <col min="13608" max="13608" width="9.85546875" style="5" customWidth="1"/>
    <col min="13609" max="13609" width="0.85546875" style="5" customWidth="1"/>
    <col min="13610" max="13610" width="16" style="5" customWidth="1"/>
    <col min="13611" max="13611" width="0.5703125" style="5" customWidth="1"/>
    <col min="13612" max="13612" width="9.42578125" style="5" bestFit="1" customWidth="1"/>
    <col min="13613" max="13613" width="1.140625" style="5" customWidth="1"/>
    <col min="13614" max="13844" width="9.140625" style="5"/>
    <col min="13845" max="13845" width="2.140625" style="5" customWidth="1"/>
    <col min="13846" max="13846" width="14" style="5" customWidth="1"/>
    <col min="13847" max="13847" width="0.7109375" style="5" customWidth="1"/>
    <col min="13848" max="13848" width="17.140625" style="5" customWidth="1"/>
    <col min="13849" max="13849" width="1.140625" style="5" customWidth="1"/>
    <col min="13850" max="13850" width="18.28515625" style="5" customWidth="1"/>
    <col min="13851" max="13851" width="1" style="5" customWidth="1"/>
    <col min="13852" max="13852" width="41.28515625" style="5" customWidth="1"/>
    <col min="13853" max="13853" width="1" style="5" customWidth="1"/>
    <col min="13854" max="13854" width="11.140625" style="5" customWidth="1"/>
    <col min="13855" max="13855" width="1.28515625" style="5" customWidth="1"/>
    <col min="13856" max="13856" width="10.7109375" style="5" customWidth="1"/>
    <col min="13857" max="13857" width="1" style="5" customWidth="1"/>
    <col min="13858" max="13858" width="10.42578125" style="5" customWidth="1"/>
    <col min="13859" max="13859" width="0.85546875" style="5" customWidth="1"/>
    <col min="13860" max="13860" width="14" style="5" customWidth="1"/>
    <col min="13861" max="13861" width="0.85546875" style="5" customWidth="1"/>
    <col min="13862" max="13862" width="8.42578125" style="5" customWidth="1"/>
    <col min="13863" max="13863" width="0.85546875" style="5" customWidth="1"/>
    <col min="13864" max="13864" width="9.85546875" style="5" customWidth="1"/>
    <col min="13865" max="13865" width="0.85546875" style="5" customWidth="1"/>
    <col min="13866" max="13866" width="16" style="5" customWidth="1"/>
    <col min="13867" max="13867" width="0.5703125" style="5" customWidth="1"/>
    <col min="13868" max="13868" width="9.42578125" style="5" bestFit="1" customWidth="1"/>
    <col min="13869" max="13869" width="1.140625" style="5" customWidth="1"/>
    <col min="13870" max="14100" width="9.140625" style="5"/>
    <col min="14101" max="14101" width="2.140625" style="5" customWidth="1"/>
    <col min="14102" max="14102" width="14" style="5" customWidth="1"/>
    <col min="14103" max="14103" width="0.7109375" style="5" customWidth="1"/>
    <col min="14104" max="14104" width="17.140625" style="5" customWidth="1"/>
    <col min="14105" max="14105" width="1.140625" style="5" customWidth="1"/>
    <col min="14106" max="14106" width="18.28515625" style="5" customWidth="1"/>
    <col min="14107" max="14107" width="1" style="5" customWidth="1"/>
    <col min="14108" max="14108" width="41.28515625" style="5" customWidth="1"/>
    <col min="14109" max="14109" width="1" style="5" customWidth="1"/>
    <col min="14110" max="14110" width="11.140625" style="5" customWidth="1"/>
    <col min="14111" max="14111" width="1.28515625" style="5" customWidth="1"/>
    <col min="14112" max="14112" width="10.7109375" style="5" customWidth="1"/>
    <col min="14113" max="14113" width="1" style="5" customWidth="1"/>
    <col min="14114" max="14114" width="10.42578125" style="5" customWidth="1"/>
    <col min="14115" max="14115" width="0.85546875" style="5" customWidth="1"/>
    <col min="14116" max="14116" width="14" style="5" customWidth="1"/>
    <col min="14117" max="14117" width="0.85546875" style="5" customWidth="1"/>
    <col min="14118" max="14118" width="8.42578125" style="5" customWidth="1"/>
    <col min="14119" max="14119" width="0.85546875" style="5" customWidth="1"/>
    <col min="14120" max="14120" width="9.85546875" style="5" customWidth="1"/>
    <col min="14121" max="14121" width="0.85546875" style="5" customWidth="1"/>
    <col min="14122" max="14122" width="16" style="5" customWidth="1"/>
    <col min="14123" max="14123" width="0.5703125" style="5" customWidth="1"/>
    <col min="14124" max="14124" width="9.42578125" style="5" bestFit="1" customWidth="1"/>
    <col min="14125" max="14125" width="1.140625" style="5" customWidth="1"/>
    <col min="14126" max="14356" width="9.140625" style="5"/>
    <col min="14357" max="14357" width="2.140625" style="5" customWidth="1"/>
    <col min="14358" max="14358" width="14" style="5" customWidth="1"/>
    <col min="14359" max="14359" width="0.7109375" style="5" customWidth="1"/>
    <col min="14360" max="14360" width="17.140625" style="5" customWidth="1"/>
    <col min="14361" max="14361" width="1.140625" style="5" customWidth="1"/>
    <col min="14362" max="14362" width="18.28515625" style="5" customWidth="1"/>
    <col min="14363" max="14363" width="1" style="5" customWidth="1"/>
    <col min="14364" max="14364" width="41.28515625" style="5" customWidth="1"/>
    <col min="14365" max="14365" width="1" style="5" customWidth="1"/>
    <col min="14366" max="14366" width="11.140625" style="5" customWidth="1"/>
    <col min="14367" max="14367" width="1.28515625" style="5" customWidth="1"/>
    <col min="14368" max="14368" width="10.7109375" style="5" customWidth="1"/>
    <col min="14369" max="14369" width="1" style="5" customWidth="1"/>
    <col min="14370" max="14370" width="10.42578125" style="5" customWidth="1"/>
    <col min="14371" max="14371" width="0.85546875" style="5" customWidth="1"/>
    <col min="14372" max="14372" width="14" style="5" customWidth="1"/>
    <col min="14373" max="14373" width="0.85546875" style="5" customWidth="1"/>
    <col min="14374" max="14374" width="8.42578125" style="5" customWidth="1"/>
    <col min="14375" max="14375" width="0.85546875" style="5" customWidth="1"/>
    <col min="14376" max="14376" width="9.85546875" style="5" customWidth="1"/>
    <col min="14377" max="14377" width="0.85546875" style="5" customWidth="1"/>
    <col min="14378" max="14378" width="16" style="5" customWidth="1"/>
    <col min="14379" max="14379" width="0.5703125" style="5" customWidth="1"/>
    <col min="14380" max="14380" width="9.42578125" style="5" bestFit="1" customWidth="1"/>
    <col min="14381" max="14381" width="1.140625" style="5" customWidth="1"/>
    <col min="14382" max="14612" width="9.140625" style="5"/>
    <col min="14613" max="14613" width="2.140625" style="5" customWidth="1"/>
    <col min="14614" max="14614" width="14" style="5" customWidth="1"/>
    <col min="14615" max="14615" width="0.7109375" style="5" customWidth="1"/>
    <col min="14616" max="14616" width="17.140625" style="5" customWidth="1"/>
    <col min="14617" max="14617" width="1.140625" style="5" customWidth="1"/>
    <col min="14618" max="14618" width="18.28515625" style="5" customWidth="1"/>
    <col min="14619" max="14619" width="1" style="5" customWidth="1"/>
    <col min="14620" max="14620" width="41.28515625" style="5" customWidth="1"/>
    <col min="14621" max="14621" width="1" style="5" customWidth="1"/>
    <col min="14622" max="14622" width="11.140625" style="5" customWidth="1"/>
    <col min="14623" max="14623" width="1.28515625" style="5" customWidth="1"/>
    <col min="14624" max="14624" width="10.7109375" style="5" customWidth="1"/>
    <col min="14625" max="14625" width="1" style="5" customWidth="1"/>
    <col min="14626" max="14626" width="10.42578125" style="5" customWidth="1"/>
    <col min="14627" max="14627" width="0.85546875" style="5" customWidth="1"/>
    <col min="14628" max="14628" width="14" style="5" customWidth="1"/>
    <col min="14629" max="14629" width="0.85546875" style="5" customWidth="1"/>
    <col min="14630" max="14630" width="8.42578125" style="5" customWidth="1"/>
    <col min="14631" max="14631" width="0.85546875" style="5" customWidth="1"/>
    <col min="14632" max="14632" width="9.85546875" style="5" customWidth="1"/>
    <col min="14633" max="14633" width="0.85546875" style="5" customWidth="1"/>
    <col min="14634" max="14634" width="16" style="5" customWidth="1"/>
    <col min="14635" max="14635" width="0.5703125" style="5" customWidth="1"/>
    <col min="14636" max="14636" width="9.42578125" style="5" bestFit="1" customWidth="1"/>
    <col min="14637" max="14637" width="1.140625" style="5" customWidth="1"/>
    <col min="14638" max="14868" width="9.140625" style="5"/>
    <col min="14869" max="14869" width="2.140625" style="5" customWidth="1"/>
    <col min="14870" max="14870" width="14" style="5" customWidth="1"/>
    <col min="14871" max="14871" width="0.7109375" style="5" customWidth="1"/>
    <col min="14872" max="14872" width="17.140625" style="5" customWidth="1"/>
    <col min="14873" max="14873" width="1.140625" style="5" customWidth="1"/>
    <col min="14874" max="14874" width="18.28515625" style="5" customWidth="1"/>
    <col min="14875" max="14875" width="1" style="5" customWidth="1"/>
    <col min="14876" max="14876" width="41.28515625" style="5" customWidth="1"/>
    <col min="14877" max="14877" width="1" style="5" customWidth="1"/>
    <col min="14878" max="14878" width="11.140625" style="5" customWidth="1"/>
    <col min="14879" max="14879" width="1.28515625" style="5" customWidth="1"/>
    <col min="14880" max="14880" width="10.7109375" style="5" customWidth="1"/>
    <col min="14881" max="14881" width="1" style="5" customWidth="1"/>
    <col min="14882" max="14882" width="10.42578125" style="5" customWidth="1"/>
    <col min="14883" max="14883" width="0.85546875" style="5" customWidth="1"/>
    <col min="14884" max="14884" width="14" style="5" customWidth="1"/>
    <col min="14885" max="14885" width="0.85546875" style="5" customWidth="1"/>
    <col min="14886" max="14886" width="8.42578125" style="5" customWidth="1"/>
    <col min="14887" max="14887" width="0.85546875" style="5" customWidth="1"/>
    <col min="14888" max="14888" width="9.85546875" style="5" customWidth="1"/>
    <col min="14889" max="14889" width="0.85546875" style="5" customWidth="1"/>
    <col min="14890" max="14890" width="16" style="5" customWidth="1"/>
    <col min="14891" max="14891" width="0.5703125" style="5" customWidth="1"/>
    <col min="14892" max="14892" width="9.42578125" style="5" bestFit="1" customWidth="1"/>
    <col min="14893" max="14893" width="1.140625" style="5" customWidth="1"/>
    <col min="14894" max="15124" width="9.140625" style="5"/>
    <col min="15125" max="15125" width="2.140625" style="5" customWidth="1"/>
    <col min="15126" max="15126" width="14" style="5" customWidth="1"/>
    <col min="15127" max="15127" width="0.7109375" style="5" customWidth="1"/>
    <col min="15128" max="15128" width="17.140625" style="5" customWidth="1"/>
    <col min="15129" max="15129" width="1.140625" style="5" customWidth="1"/>
    <col min="15130" max="15130" width="18.28515625" style="5" customWidth="1"/>
    <col min="15131" max="15131" width="1" style="5" customWidth="1"/>
    <col min="15132" max="15132" width="41.28515625" style="5" customWidth="1"/>
    <col min="15133" max="15133" width="1" style="5" customWidth="1"/>
    <col min="15134" max="15134" width="11.140625" style="5" customWidth="1"/>
    <col min="15135" max="15135" width="1.28515625" style="5" customWidth="1"/>
    <col min="15136" max="15136" width="10.7109375" style="5" customWidth="1"/>
    <col min="15137" max="15137" width="1" style="5" customWidth="1"/>
    <col min="15138" max="15138" width="10.42578125" style="5" customWidth="1"/>
    <col min="15139" max="15139" width="0.85546875" style="5" customWidth="1"/>
    <col min="15140" max="15140" width="14" style="5" customWidth="1"/>
    <col min="15141" max="15141" width="0.85546875" style="5" customWidth="1"/>
    <col min="15142" max="15142" width="8.42578125" style="5" customWidth="1"/>
    <col min="15143" max="15143" width="0.85546875" style="5" customWidth="1"/>
    <col min="15144" max="15144" width="9.85546875" style="5" customWidth="1"/>
    <col min="15145" max="15145" width="0.85546875" style="5" customWidth="1"/>
    <col min="15146" max="15146" width="16" style="5" customWidth="1"/>
    <col min="15147" max="15147" width="0.5703125" style="5" customWidth="1"/>
    <col min="15148" max="15148" width="9.42578125" style="5" bestFit="1" customWidth="1"/>
    <col min="15149" max="15149" width="1.140625" style="5" customWidth="1"/>
    <col min="15150" max="15380" width="9.140625" style="5"/>
    <col min="15381" max="15381" width="2.140625" style="5" customWidth="1"/>
    <col min="15382" max="15382" width="14" style="5" customWidth="1"/>
    <col min="15383" max="15383" width="0.7109375" style="5" customWidth="1"/>
    <col min="15384" max="15384" width="17.140625" style="5" customWidth="1"/>
    <col min="15385" max="15385" width="1.140625" style="5" customWidth="1"/>
    <col min="15386" max="15386" width="18.28515625" style="5" customWidth="1"/>
    <col min="15387" max="15387" width="1" style="5" customWidth="1"/>
    <col min="15388" max="15388" width="41.28515625" style="5" customWidth="1"/>
    <col min="15389" max="15389" width="1" style="5" customWidth="1"/>
    <col min="15390" max="15390" width="11.140625" style="5" customWidth="1"/>
    <col min="15391" max="15391" width="1.28515625" style="5" customWidth="1"/>
    <col min="15392" max="15392" width="10.7109375" style="5" customWidth="1"/>
    <col min="15393" max="15393" width="1" style="5" customWidth="1"/>
    <col min="15394" max="15394" width="10.42578125" style="5" customWidth="1"/>
    <col min="15395" max="15395" width="0.85546875" style="5" customWidth="1"/>
    <col min="15396" max="15396" width="14" style="5" customWidth="1"/>
    <col min="15397" max="15397" width="0.85546875" style="5" customWidth="1"/>
    <col min="15398" max="15398" width="8.42578125" style="5" customWidth="1"/>
    <col min="15399" max="15399" width="0.85546875" style="5" customWidth="1"/>
    <col min="15400" max="15400" width="9.85546875" style="5" customWidth="1"/>
    <col min="15401" max="15401" width="0.85546875" style="5" customWidth="1"/>
    <col min="15402" max="15402" width="16" style="5" customWidth="1"/>
    <col min="15403" max="15403" width="0.5703125" style="5" customWidth="1"/>
    <col min="15404" max="15404" width="9.42578125" style="5" bestFit="1" customWidth="1"/>
    <col min="15405" max="15405" width="1.140625" style="5" customWidth="1"/>
    <col min="15406" max="15636" width="9.140625" style="5"/>
    <col min="15637" max="15637" width="2.140625" style="5" customWidth="1"/>
    <col min="15638" max="15638" width="14" style="5" customWidth="1"/>
    <col min="15639" max="15639" width="0.7109375" style="5" customWidth="1"/>
    <col min="15640" max="15640" width="17.140625" style="5" customWidth="1"/>
    <col min="15641" max="15641" width="1.140625" style="5" customWidth="1"/>
    <col min="15642" max="15642" width="18.28515625" style="5" customWidth="1"/>
    <col min="15643" max="15643" width="1" style="5" customWidth="1"/>
    <col min="15644" max="15644" width="41.28515625" style="5" customWidth="1"/>
    <col min="15645" max="15645" width="1" style="5" customWidth="1"/>
    <col min="15646" max="15646" width="11.140625" style="5" customWidth="1"/>
    <col min="15647" max="15647" width="1.28515625" style="5" customWidth="1"/>
    <col min="15648" max="15648" width="10.7109375" style="5" customWidth="1"/>
    <col min="15649" max="15649" width="1" style="5" customWidth="1"/>
    <col min="15650" max="15650" width="10.42578125" style="5" customWidth="1"/>
    <col min="15651" max="15651" width="0.85546875" style="5" customWidth="1"/>
    <col min="15652" max="15652" width="14" style="5" customWidth="1"/>
    <col min="15653" max="15653" width="0.85546875" style="5" customWidth="1"/>
    <col min="15654" max="15654" width="8.42578125" style="5" customWidth="1"/>
    <col min="15655" max="15655" width="0.85546875" style="5" customWidth="1"/>
    <col min="15656" max="15656" width="9.85546875" style="5" customWidth="1"/>
    <col min="15657" max="15657" width="0.85546875" style="5" customWidth="1"/>
    <col min="15658" max="15658" width="16" style="5" customWidth="1"/>
    <col min="15659" max="15659" width="0.5703125" style="5" customWidth="1"/>
    <col min="15660" max="15660" width="9.42578125" style="5" bestFit="1" customWidth="1"/>
    <col min="15661" max="15661" width="1.140625" style="5" customWidth="1"/>
    <col min="15662" max="15892" width="9.140625" style="5"/>
    <col min="15893" max="15893" width="2.140625" style="5" customWidth="1"/>
    <col min="15894" max="15894" width="14" style="5" customWidth="1"/>
    <col min="15895" max="15895" width="0.7109375" style="5" customWidth="1"/>
    <col min="15896" max="15896" width="17.140625" style="5" customWidth="1"/>
    <col min="15897" max="15897" width="1.140625" style="5" customWidth="1"/>
    <col min="15898" max="15898" width="18.28515625" style="5" customWidth="1"/>
    <col min="15899" max="15899" width="1" style="5" customWidth="1"/>
    <col min="15900" max="15900" width="41.28515625" style="5" customWidth="1"/>
    <col min="15901" max="15901" width="1" style="5" customWidth="1"/>
    <col min="15902" max="15902" width="11.140625" style="5" customWidth="1"/>
    <col min="15903" max="15903" width="1.28515625" style="5" customWidth="1"/>
    <col min="15904" max="15904" width="10.7109375" style="5" customWidth="1"/>
    <col min="15905" max="15905" width="1" style="5" customWidth="1"/>
    <col min="15906" max="15906" width="10.42578125" style="5" customWidth="1"/>
    <col min="15907" max="15907" width="0.85546875" style="5" customWidth="1"/>
    <col min="15908" max="15908" width="14" style="5" customWidth="1"/>
    <col min="15909" max="15909" width="0.85546875" style="5" customWidth="1"/>
    <col min="15910" max="15910" width="8.42578125" style="5" customWidth="1"/>
    <col min="15911" max="15911" width="0.85546875" style="5" customWidth="1"/>
    <col min="15912" max="15912" width="9.85546875" style="5" customWidth="1"/>
    <col min="15913" max="15913" width="0.85546875" style="5" customWidth="1"/>
    <col min="15914" max="15914" width="16" style="5" customWidth="1"/>
    <col min="15915" max="15915" width="0.5703125" style="5" customWidth="1"/>
    <col min="15916" max="15916" width="9.42578125" style="5" bestFit="1" customWidth="1"/>
    <col min="15917" max="15917" width="1.140625" style="5" customWidth="1"/>
    <col min="15918" max="16148" width="9.140625" style="5"/>
    <col min="16149" max="16149" width="2.140625" style="5" customWidth="1"/>
    <col min="16150" max="16150" width="14" style="5" customWidth="1"/>
    <col min="16151" max="16151" width="0.7109375" style="5" customWidth="1"/>
    <col min="16152" max="16152" width="17.140625" style="5" customWidth="1"/>
    <col min="16153" max="16153" width="1.140625" style="5" customWidth="1"/>
    <col min="16154" max="16154" width="18.28515625" style="5" customWidth="1"/>
    <col min="16155" max="16155" width="1" style="5" customWidth="1"/>
    <col min="16156" max="16156" width="41.28515625" style="5" customWidth="1"/>
    <col min="16157" max="16157" width="1" style="5" customWidth="1"/>
    <col min="16158" max="16158" width="11.140625" style="5" customWidth="1"/>
    <col min="16159" max="16159" width="1.28515625" style="5" customWidth="1"/>
    <col min="16160" max="16160" width="10.7109375" style="5" customWidth="1"/>
    <col min="16161" max="16161" width="1" style="5" customWidth="1"/>
    <col min="16162" max="16162" width="10.42578125" style="5" customWidth="1"/>
    <col min="16163" max="16163" width="0.85546875" style="5" customWidth="1"/>
    <col min="16164" max="16164" width="14" style="5" customWidth="1"/>
    <col min="16165" max="16165" width="0.85546875" style="5" customWidth="1"/>
    <col min="16166" max="16166" width="8.42578125" style="5" customWidth="1"/>
    <col min="16167" max="16167" width="0.85546875" style="5" customWidth="1"/>
    <col min="16168" max="16168" width="9.85546875" style="5" customWidth="1"/>
    <col min="16169" max="16169" width="0.85546875" style="5" customWidth="1"/>
    <col min="16170" max="16170" width="16" style="5" customWidth="1"/>
    <col min="16171" max="16171" width="0.5703125" style="5" customWidth="1"/>
    <col min="16172" max="16172" width="9.42578125" style="5" bestFit="1" customWidth="1"/>
    <col min="16173" max="16173" width="1.140625" style="5" customWidth="1"/>
    <col min="16174" max="16384" width="9.140625" style="5"/>
  </cols>
  <sheetData>
    <row r="1" spans="1:50" ht="51" x14ac:dyDescent="0.2">
      <c r="A1" s="2" t="s">
        <v>9</v>
      </c>
      <c r="B1" s="1"/>
      <c r="C1" s="2" t="s">
        <v>39</v>
      </c>
      <c r="D1" s="1"/>
      <c r="E1" s="116" t="s">
        <v>0</v>
      </c>
      <c r="F1" s="116"/>
      <c r="G1" s="116" t="s">
        <v>1</v>
      </c>
      <c r="H1" s="2"/>
      <c r="I1" s="3" t="s">
        <v>4</v>
      </c>
      <c r="J1" s="1"/>
      <c r="K1" s="2" t="s">
        <v>2</v>
      </c>
      <c r="L1" s="1"/>
      <c r="M1" s="2" t="s">
        <v>7</v>
      </c>
      <c r="N1" s="1"/>
      <c r="O1" s="2" t="s">
        <v>8</v>
      </c>
      <c r="P1" s="2" t="s">
        <v>23</v>
      </c>
      <c r="Q1" s="4" t="s">
        <v>5</v>
      </c>
      <c r="R1" s="1"/>
      <c r="S1" s="39" t="s">
        <v>6</v>
      </c>
      <c r="T1" s="1"/>
      <c r="U1" s="58" t="s">
        <v>560</v>
      </c>
      <c r="V1" s="1"/>
      <c r="W1" s="62" t="s">
        <v>561</v>
      </c>
      <c r="X1" s="1"/>
      <c r="Y1" s="209" t="s">
        <v>676</v>
      </c>
      <c r="Z1" s="209"/>
      <c r="AA1" s="209" t="s">
        <v>677</v>
      </c>
      <c r="AB1" s="209"/>
      <c r="AC1" s="209" t="s">
        <v>678</v>
      </c>
      <c r="AD1" s="209"/>
      <c r="AE1" s="209" t="s">
        <v>679</v>
      </c>
      <c r="AF1" s="209" t="s">
        <v>680</v>
      </c>
      <c r="AG1" s="209"/>
      <c r="AH1" s="209" t="s">
        <v>681</v>
      </c>
      <c r="AI1" s="319" t="s">
        <v>773</v>
      </c>
      <c r="AJ1" s="319"/>
      <c r="AK1" s="319" t="s">
        <v>774</v>
      </c>
      <c r="AL1" s="319" t="s">
        <v>775</v>
      </c>
      <c r="AM1" s="319"/>
      <c r="AN1" s="319" t="s">
        <v>776</v>
      </c>
      <c r="AO1" s="320"/>
      <c r="AP1" s="319" t="s">
        <v>871</v>
      </c>
      <c r="AQ1" s="319" t="s">
        <v>871</v>
      </c>
      <c r="AR1" s="320"/>
      <c r="AS1" s="319" t="s">
        <v>873</v>
      </c>
      <c r="AT1" s="319" t="s">
        <v>873</v>
      </c>
      <c r="AU1" s="246" t="s">
        <v>781</v>
      </c>
      <c r="AV1" s="325" t="s">
        <v>24</v>
      </c>
      <c r="AW1" s="41"/>
      <c r="AX1" s="324" t="s">
        <v>3</v>
      </c>
    </row>
    <row r="2" spans="1:50" ht="144" x14ac:dyDescent="0.2">
      <c r="A2" s="323" t="s">
        <v>497</v>
      </c>
      <c r="C2" s="14" t="s">
        <v>498</v>
      </c>
      <c r="D2" s="13"/>
      <c r="E2" s="14" t="s">
        <v>499</v>
      </c>
      <c r="F2" s="12"/>
      <c r="G2" s="14" t="s">
        <v>850</v>
      </c>
      <c r="H2" s="12"/>
      <c r="I2" s="14" t="s">
        <v>515</v>
      </c>
      <c r="J2" s="13"/>
      <c r="K2" s="13" t="s">
        <v>20</v>
      </c>
      <c r="L2" s="13"/>
      <c r="M2" s="14" t="s">
        <v>498</v>
      </c>
      <c r="N2" s="13"/>
      <c r="O2" s="14" t="s">
        <v>500</v>
      </c>
      <c r="P2" s="7" t="s">
        <v>501</v>
      </c>
      <c r="Q2" s="53">
        <v>1295</v>
      </c>
      <c r="R2" s="13"/>
      <c r="S2" s="40">
        <v>231748.95</v>
      </c>
      <c r="T2" s="13"/>
      <c r="U2" s="9">
        <v>1439</v>
      </c>
      <c r="V2" s="13"/>
      <c r="W2" s="41">
        <v>251664.13</v>
      </c>
      <c r="X2" s="13"/>
      <c r="Y2" s="41">
        <v>1549</v>
      </c>
      <c r="Z2" s="41"/>
      <c r="AA2" s="41">
        <v>265692</v>
      </c>
      <c r="AB2" s="41"/>
      <c r="AC2" s="41">
        <v>1713</v>
      </c>
      <c r="AD2" s="41"/>
      <c r="AE2" s="41">
        <v>131890</v>
      </c>
      <c r="AF2" s="41">
        <v>1690</v>
      </c>
      <c r="AG2" s="41"/>
      <c r="AH2" s="41">
        <v>300790</v>
      </c>
      <c r="AI2" s="291">
        <v>1818</v>
      </c>
      <c r="AJ2" s="41"/>
      <c r="AK2" s="41">
        <v>343382.01</v>
      </c>
      <c r="AL2" s="291">
        <v>1952</v>
      </c>
      <c r="AM2" s="41"/>
      <c r="AN2" s="41">
        <v>358415.38</v>
      </c>
      <c r="AO2" s="41"/>
      <c r="AP2" s="41"/>
      <c r="AQ2" s="41"/>
      <c r="AR2" s="41"/>
      <c r="AS2" s="41"/>
      <c r="AT2" s="41"/>
      <c r="AU2" s="315"/>
      <c r="AV2" s="41" t="s">
        <v>502</v>
      </c>
      <c r="AW2" s="41"/>
      <c r="AX2" s="7" t="s">
        <v>516</v>
      </c>
    </row>
    <row r="3" spans="1:50" ht="60" x14ac:dyDescent="0.2">
      <c r="A3" s="323" t="s">
        <v>497</v>
      </c>
      <c r="B3" s="6"/>
      <c r="C3" s="10" t="s">
        <v>503</v>
      </c>
      <c r="D3" s="9"/>
      <c r="E3" s="10" t="s">
        <v>504</v>
      </c>
      <c r="F3" s="8"/>
      <c r="G3" s="10" t="s">
        <v>514</v>
      </c>
      <c r="H3" s="8"/>
      <c r="I3" s="105">
        <v>10</v>
      </c>
      <c r="J3" s="9"/>
      <c r="K3" s="9" t="s">
        <v>20</v>
      </c>
      <c r="L3" s="9"/>
      <c r="M3" s="9" t="s">
        <v>513</v>
      </c>
      <c r="N3" s="9"/>
      <c r="O3" s="8" t="s">
        <v>360</v>
      </c>
      <c r="P3" s="7" t="s">
        <v>505</v>
      </c>
      <c r="Q3" s="9">
        <v>90</v>
      </c>
      <c r="R3" s="9"/>
      <c r="S3" s="41">
        <v>900</v>
      </c>
      <c r="T3" s="9"/>
      <c r="U3" s="9">
        <v>96</v>
      </c>
      <c r="V3" s="9"/>
      <c r="W3" s="41">
        <v>960</v>
      </c>
      <c r="X3" s="9"/>
      <c r="Y3" s="9">
        <v>84</v>
      </c>
      <c r="Z3" s="41"/>
      <c r="AA3" s="41">
        <v>840</v>
      </c>
      <c r="AB3" s="41"/>
      <c r="AC3" s="9">
        <v>82</v>
      </c>
      <c r="AD3" s="41"/>
      <c r="AE3" s="41">
        <v>820</v>
      </c>
      <c r="AF3" s="9">
        <v>75</v>
      </c>
      <c r="AG3" s="41"/>
      <c r="AH3" s="41">
        <v>750</v>
      </c>
      <c r="AI3" s="9">
        <v>73</v>
      </c>
      <c r="AJ3" s="41"/>
      <c r="AK3" s="41">
        <v>720</v>
      </c>
      <c r="AL3" s="9">
        <v>69</v>
      </c>
      <c r="AM3" s="41"/>
      <c r="AN3" s="41">
        <v>690</v>
      </c>
      <c r="AO3" s="42"/>
      <c r="AP3" s="42"/>
      <c r="AQ3" s="42"/>
      <c r="AR3" s="42"/>
      <c r="AS3" s="42"/>
      <c r="AT3" s="42"/>
      <c r="AU3" s="322" t="s">
        <v>782</v>
      </c>
      <c r="AV3" s="42" t="s">
        <v>506</v>
      </c>
      <c r="AW3" s="42"/>
    </row>
    <row r="4" spans="1:50" s="321" customFormat="1" ht="13.5" thickBot="1" x14ac:dyDescent="0.25">
      <c r="A4" s="377" t="s">
        <v>559</v>
      </c>
      <c r="B4" s="378"/>
      <c r="C4" s="378"/>
      <c r="D4" s="379"/>
      <c r="E4" s="380"/>
      <c r="F4" s="381"/>
      <c r="G4" s="380"/>
      <c r="H4" s="381"/>
      <c r="I4" s="381"/>
      <c r="J4" s="379"/>
      <c r="K4" s="379"/>
      <c r="L4" s="379"/>
      <c r="M4" s="379"/>
      <c r="N4" s="379"/>
      <c r="O4" s="381"/>
      <c r="P4" s="382"/>
      <c r="Q4" s="383">
        <f>SUM(Q2:Q3)</f>
        <v>1385</v>
      </c>
      <c r="R4" s="379"/>
      <c r="S4" s="384">
        <f>SUM(S2:S3)</f>
        <v>232648.95</v>
      </c>
      <c r="T4" s="379"/>
      <c r="U4" s="383">
        <f>SUM(U2:U3)</f>
        <v>1535</v>
      </c>
      <c r="V4" s="379"/>
      <c r="W4" s="384">
        <f>SUM(W2:W3)</f>
        <v>252624.13</v>
      </c>
      <c r="X4" s="379"/>
      <c r="Y4" s="383">
        <f>SUM(Y2:Y3)</f>
        <v>1633</v>
      </c>
      <c r="Z4" s="384"/>
      <c r="AA4" s="384">
        <f>SUM(AA2:AA3)</f>
        <v>266532</v>
      </c>
      <c r="AB4" s="384"/>
      <c r="AC4" s="383">
        <f>SUM(AC2:AC3)</f>
        <v>1795</v>
      </c>
      <c r="AD4" s="384"/>
      <c r="AE4" s="384">
        <f>SUM(AE2:AE3)</f>
        <v>132710</v>
      </c>
      <c r="AF4" s="383">
        <f>SUM(AF2:AF3)</f>
        <v>1765</v>
      </c>
      <c r="AG4" s="384"/>
      <c r="AH4" s="384">
        <f>SUM(AH2:AH3)</f>
        <v>301540</v>
      </c>
      <c r="AI4" s="383">
        <f>SUM(AI2:AI3)</f>
        <v>1891</v>
      </c>
      <c r="AJ4" s="384"/>
      <c r="AK4" s="384">
        <f>SUM(AK2:AK3)</f>
        <v>344102.01</v>
      </c>
      <c r="AL4" s="383">
        <f>SUM(AL2:AL3)</f>
        <v>2021</v>
      </c>
      <c r="AM4" s="384"/>
      <c r="AN4" s="384">
        <f>SUM(AN2:AN3)</f>
        <v>359105.38</v>
      </c>
      <c r="AO4" s="384"/>
      <c r="AP4" s="384"/>
      <c r="AQ4" s="384"/>
      <c r="AR4" s="384"/>
      <c r="AS4" s="384"/>
      <c r="AT4" s="384"/>
      <c r="AU4" s="372"/>
      <c r="AV4" s="384"/>
      <c r="AW4" s="384"/>
      <c r="AX4" s="385"/>
    </row>
    <row r="5" spans="1:50" s="30" customFormat="1" ht="13.5" thickTop="1" x14ac:dyDescent="0.2">
      <c r="A5" s="440"/>
      <c r="B5" s="440"/>
      <c r="C5" s="440"/>
      <c r="D5" s="440"/>
      <c r="E5" s="440"/>
      <c r="F5" s="440"/>
      <c r="G5" s="440"/>
      <c r="H5" s="440"/>
      <c r="I5" s="440"/>
      <c r="J5" s="28"/>
      <c r="K5" s="28"/>
      <c r="L5" s="28"/>
      <c r="M5" s="28"/>
      <c r="N5" s="28"/>
      <c r="O5" s="27"/>
      <c r="P5" s="109"/>
      <c r="Q5" s="28"/>
      <c r="R5" s="28"/>
      <c r="S5" s="42"/>
      <c r="T5" s="28"/>
      <c r="U5" s="28"/>
      <c r="V5" s="28"/>
      <c r="W5" s="28"/>
      <c r="X5" s="28"/>
      <c r="Y5" s="28"/>
      <c r="Z5" s="28"/>
      <c r="AA5" s="42"/>
      <c r="AB5" s="28"/>
      <c r="AC5" s="28"/>
      <c r="AD5" s="28"/>
      <c r="AE5" s="28"/>
      <c r="AF5" s="28"/>
      <c r="AG5" s="28"/>
      <c r="AH5" s="28"/>
      <c r="AI5" s="28"/>
      <c r="AJ5" s="28"/>
      <c r="AK5" s="28"/>
      <c r="AL5" s="28"/>
      <c r="AM5" s="28"/>
      <c r="AN5" s="28"/>
      <c r="AO5" s="28"/>
      <c r="AP5" s="28"/>
      <c r="AQ5" s="28"/>
      <c r="AR5" s="28"/>
      <c r="AS5" s="28"/>
      <c r="AT5" s="28"/>
      <c r="AU5" s="155"/>
    </row>
    <row r="6" spans="1:50" s="30" customFormat="1" x14ac:dyDescent="0.2">
      <c r="A6" s="107"/>
      <c r="B6" s="107"/>
      <c r="C6" s="107"/>
      <c r="D6" s="107"/>
      <c r="E6" s="107"/>
      <c r="F6" s="107"/>
      <c r="G6" s="107"/>
      <c r="H6" s="107"/>
      <c r="I6" s="107"/>
      <c r="J6" s="107"/>
      <c r="K6" s="107"/>
      <c r="L6" s="107"/>
      <c r="M6" s="107"/>
      <c r="N6" s="107"/>
      <c r="O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55"/>
    </row>
    <row r="7" spans="1:50" s="30" customFormat="1" x14ac:dyDescent="0.2">
      <c r="A7" s="26"/>
      <c r="B7" s="25"/>
      <c r="C7" s="27"/>
      <c r="D7" s="28"/>
      <c r="E7" s="29"/>
      <c r="F7" s="27"/>
      <c r="G7" s="29"/>
      <c r="H7" s="27"/>
      <c r="I7" s="27"/>
      <c r="J7" s="28"/>
      <c r="K7" s="28"/>
      <c r="L7" s="28"/>
      <c r="M7" s="28"/>
      <c r="N7" s="28"/>
      <c r="O7" s="27"/>
      <c r="Q7" s="28"/>
      <c r="R7" s="28"/>
      <c r="S7" s="42"/>
      <c r="T7" s="28"/>
      <c r="U7" s="28"/>
      <c r="V7" s="28"/>
      <c r="W7" s="28"/>
      <c r="X7" s="28"/>
      <c r="Y7" s="28"/>
      <c r="Z7" s="28"/>
      <c r="AA7" s="42"/>
      <c r="AB7" s="28"/>
      <c r="AC7" s="28"/>
      <c r="AD7" s="28"/>
      <c r="AE7" s="28"/>
      <c r="AF7" s="28"/>
      <c r="AG7" s="28"/>
      <c r="AH7" s="28"/>
      <c r="AI7" s="28"/>
      <c r="AJ7" s="28"/>
      <c r="AK7" s="28"/>
      <c r="AL7" s="28"/>
      <c r="AM7" s="28"/>
      <c r="AN7" s="28"/>
      <c r="AO7" s="28"/>
      <c r="AP7" s="28"/>
      <c r="AQ7" s="28"/>
      <c r="AR7" s="28"/>
      <c r="AS7" s="28"/>
      <c r="AT7" s="28"/>
      <c r="AU7" s="155"/>
    </row>
    <row r="8" spans="1:50" s="99" customFormat="1" ht="19.899999999999999" customHeight="1" x14ac:dyDescent="0.2">
      <c r="C8" s="100"/>
      <c r="D8" s="101"/>
      <c r="E8" s="102"/>
      <c r="F8" s="100"/>
      <c r="G8" s="102"/>
      <c r="H8" s="100"/>
      <c r="I8" s="100"/>
      <c r="J8" s="101"/>
      <c r="K8" s="101"/>
      <c r="L8" s="101"/>
      <c r="M8" s="101"/>
      <c r="N8" s="101"/>
      <c r="O8" s="101"/>
      <c r="Q8" s="101"/>
      <c r="R8" s="101"/>
      <c r="S8" s="103"/>
      <c r="T8" s="101"/>
      <c r="U8" s="101"/>
      <c r="V8" s="101"/>
      <c r="W8" s="101"/>
      <c r="X8" s="101"/>
      <c r="Y8" s="101"/>
      <c r="Z8" s="101"/>
      <c r="AA8" s="103"/>
      <c r="AB8" s="101"/>
      <c r="AC8" s="101"/>
      <c r="AD8" s="101"/>
      <c r="AE8" s="101"/>
      <c r="AF8" s="101"/>
      <c r="AG8" s="101"/>
      <c r="AH8" s="101"/>
      <c r="AI8" s="168"/>
      <c r="AJ8" s="168"/>
      <c r="AK8" s="168"/>
      <c r="AL8" s="168"/>
      <c r="AM8" s="168"/>
      <c r="AN8" s="168"/>
      <c r="AO8" s="168"/>
      <c r="AP8" s="168"/>
      <c r="AQ8" s="168"/>
      <c r="AR8" s="168"/>
      <c r="AS8" s="168"/>
      <c r="AT8" s="168"/>
      <c r="AU8" s="155"/>
    </row>
    <row r="9" spans="1:50" s="30" customFormat="1" x14ac:dyDescent="0.2">
      <c r="A9" s="26"/>
      <c r="B9" s="25"/>
      <c r="C9" s="27"/>
      <c r="D9" s="28"/>
      <c r="E9" s="29"/>
      <c r="F9" s="27"/>
      <c r="G9" s="29"/>
      <c r="H9" s="27"/>
      <c r="I9" s="27"/>
      <c r="J9" s="28"/>
      <c r="K9" s="28"/>
      <c r="L9" s="28"/>
      <c r="M9" s="28"/>
      <c r="N9" s="28"/>
      <c r="O9" s="27"/>
      <c r="Q9" s="28"/>
      <c r="R9" s="28"/>
      <c r="S9" s="42"/>
      <c r="T9" s="28"/>
      <c r="U9" s="28"/>
      <c r="V9" s="28"/>
      <c r="W9" s="28"/>
      <c r="X9" s="28"/>
      <c r="Y9" s="28"/>
      <c r="Z9" s="28"/>
      <c r="AA9" s="42"/>
      <c r="AB9" s="28"/>
      <c r="AC9" s="28"/>
      <c r="AD9" s="28"/>
      <c r="AE9" s="28"/>
      <c r="AF9" s="28"/>
      <c r="AG9" s="28"/>
      <c r="AH9" s="28"/>
      <c r="AI9" s="28"/>
      <c r="AJ9" s="28"/>
      <c r="AK9" s="28"/>
      <c r="AL9" s="28"/>
      <c r="AM9" s="28"/>
      <c r="AN9" s="28"/>
      <c r="AO9" s="28"/>
      <c r="AP9" s="28"/>
      <c r="AQ9" s="28"/>
      <c r="AR9" s="28"/>
      <c r="AS9" s="28"/>
      <c r="AT9" s="28"/>
      <c r="AU9" s="155"/>
    </row>
    <row r="10" spans="1:50" s="30" customFormat="1" x14ac:dyDescent="0.2">
      <c r="A10" s="26"/>
      <c r="B10" s="25"/>
      <c r="C10" s="27"/>
      <c r="D10" s="28"/>
      <c r="E10" s="29"/>
      <c r="F10" s="27"/>
      <c r="G10" s="29"/>
      <c r="H10" s="27"/>
      <c r="I10" s="27"/>
      <c r="J10" s="28"/>
      <c r="K10" s="28"/>
      <c r="L10" s="28"/>
      <c r="M10" s="28"/>
      <c r="N10" s="28"/>
      <c r="O10" s="27"/>
      <c r="Q10" s="28"/>
      <c r="R10" s="28"/>
      <c r="S10" s="42"/>
      <c r="T10" s="28"/>
      <c r="U10" s="28"/>
      <c r="V10" s="28"/>
      <c r="W10" s="28"/>
      <c r="X10" s="28"/>
      <c r="Y10" s="28"/>
      <c r="Z10" s="28"/>
      <c r="AA10" s="42"/>
      <c r="AB10" s="28"/>
      <c r="AC10" s="28"/>
      <c r="AD10" s="28"/>
      <c r="AE10" s="28"/>
      <c r="AF10" s="28"/>
      <c r="AG10" s="28"/>
      <c r="AH10" s="28"/>
      <c r="AI10" s="28"/>
      <c r="AJ10" s="28"/>
      <c r="AK10" s="28"/>
      <c r="AL10" s="28"/>
      <c r="AM10" s="28"/>
      <c r="AN10" s="28"/>
      <c r="AO10" s="28"/>
      <c r="AP10" s="28"/>
      <c r="AQ10" s="28"/>
      <c r="AR10" s="28"/>
      <c r="AS10" s="28"/>
      <c r="AT10" s="28"/>
      <c r="AU10" s="155"/>
    </row>
    <row r="11" spans="1:50" s="30" customFormat="1" x14ac:dyDescent="0.2">
      <c r="A11" s="26"/>
      <c r="B11" s="25"/>
      <c r="C11" s="27"/>
      <c r="D11" s="28"/>
      <c r="E11" s="29"/>
      <c r="F11" s="27"/>
      <c r="G11" s="29"/>
      <c r="H11" s="27"/>
      <c r="I11" s="27"/>
      <c r="J11" s="28"/>
      <c r="K11" s="28"/>
      <c r="L11" s="28"/>
      <c r="M11" s="28"/>
      <c r="N11" s="28"/>
      <c r="O11" s="27"/>
      <c r="Q11" s="28"/>
      <c r="R11" s="28"/>
      <c r="S11" s="42"/>
      <c r="T11" s="28"/>
      <c r="U11" s="28"/>
      <c r="V11" s="28"/>
      <c r="W11" s="28"/>
      <c r="X11" s="28"/>
      <c r="Y11" s="28"/>
      <c r="Z11" s="28"/>
      <c r="AA11" s="42"/>
      <c r="AB11" s="28"/>
      <c r="AC11" s="28"/>
      <c r="AD11" s="28"/>
      <c r="AE11" s="28"/>
      <c r="AF11" s="28"/>
      <c r="AG11" s="28"/>
      <c r="AH11" s="28"/>
      <c r="AI11" s="28"/>
      <c r="AJ11" s="28"/>
      <c r="AK11" s="28"/>
      <c r="AL11" s="28"/>
      <c r="AM11" s="28"/>
      <c r="AN11" s="28"/>
      <c r="AO11" s="28"/>
      <c r="AP11" s="28"/>
      <c r="AQ11" s="28"/>
      <c r="AR11" s="28"/>
      <c r="AS11" s="28"/>
      <c r="AT11" s="28"/>
      <c r="AU11" s="155"/>
    </row>
    <row r="12" spans="1:50" s="30" customFormat="1" x14ac:dyDescent="0.2">
      <c r="A12" s="26"/>
      <c r="B12" s="25"/>
      <c r="C12" s="27"/>
      <c r="D12" s="28"/>
      <c r="E12" s="29"/>
      <c r="F12" s="27"/>
      <c r="G12" s="29"/>
      <c r="H12" s="27"/>
      <c r="I12" s="27"/>
      <c r="J12" s="28"/>
      <c r="K12" s="28"/>
      <c r="L12" s="28"/>
      <c r="M12" s="28"/>
      <c r="N12" s="28"/>
      <c r="O12" s="27"/>
      <c r="Q12" s="28"/>
      <c r="R12" s="28"/>
      <c r="S12" s="42"/>
      <c r="T12" s="28"/>
      <c r="U12" s="28"/>
      <c r="V12" s="28"/>
      <c r="W12" s="28"/>
      <c r="X12" s="28"/>
      <c r="Y12" s="28"/>
      <c r="Z12" s="28"/>
      <c r="AA12" s="42"/>
      <c r="AB12" s="28"/>
      <c r="AC12" s="28"/>
      <c r="AD12" s="28"/>
      <c r="AE12" s="28"/>
      <c r="AF12" s="28"/>
      <c r="AG12" s="28"/>
      <c r="AH12" s="28"/>
      <c r="AI12" s="28"/>
      <c r="AJ12" s="28"/>
      <c r="AK12" s="28"/>
      <c r="AL12" s="28"/>
      <c r="AM12" s="28"/>
      <c r="AN12" s="28"/>
      <c r="AO12" s="28"/>
      <c r="AP12" s="28"/>
      <c r="AQ12" s="28"/>
      <c r="AR12" s="28"/>
      <c r="AS12" s="28"/>
      <c r="AT12" s="28"/>
      <c r="AU12" s="155"/>
    </row>
    <row r="13" spans="1:50" s="30" customFormat="1" x14ac:dyDescent="0.2">
      <c r="A13" s="26"/>
      <c r="B13" s="25"/>
      <c r="C13" s="27"/>
      <c r="D13" s="28"/>
      <c r="E13" s="29"/>
      <c r="F13" s="27"/>
      <c r="G13" s="29"/>
      <c r="H13" s="27"/>
      <c r="I13" s="27"/>
      <c r="J13" s="28"/>
      <c r="K13" s="28"/>
      <c r="L13" s="28"/>
      <c r="M13" s="28"/>
      <c r="N13" s="28"/>
      <c r="O13" s="27"/>
      <c r="Q13" s="28"/>
      <c r="R13" s="28"/>
      <c r="S13" s="42"/>
      <c r="T13" s="28"/>
      <c r="U13" s="28"/>
      <c r="V13" s="28"/>
      <c r="W13" s="28"/>
      <c r="X13" s="28"/>
      <c r="Y13" s="28"/>
      <c r="Z13" s="28"/>
      <c r="AA13" s="42"/>
      <c r="AB13" s="28"/>
      <c r="AC13" s="28"/>
      <c r="AD13" s="28"/>
      <c r="AE13" s="28"/>
      <c r="AF13" s="28"/>
      <c r="AG13" s="28"/>
      <c r="AH13" s="28"/>
      <c r="AI13" s="28"/>
      <c r="AJ13" s="28"/>
      <c r="AK13" s="28"/>
      <c r="AL13" s="28"/>
      <c r="AM13" s="28"/>
      <c r="AN13" s="28"/>
      <c r="AO13" s="28"/>
      <c r="AP13" s="28"/>
      <c r="AQ13" s="28"/>
      <c r="AR13" s="28"/>
      <c r="AS13" s="28"/>
      <c r="AT13" s="28"/>
      <c r="AU13" s="155"/>
    </row>
    <row r="14" spans="1:50" s="30" customFormat="1" x14ac:dyDescent="0.2">
      <c r="A14" s="26"/>
      <c r="B14" s="25"/>
      <c r="C14" s="27"/>
      <c r="D14" s="28"/>
      <c r="E14" s="29"/>
      <c r="F14" s="27"/>
      <c r="G14" s="29"/>
      <c r="H14" s="27"/>
      <c r="I14" s="27"/>
      <c r="J14" s="28"/>
      <c r="K14" s="28"/>
      <c r="L14" s="28"/>
      <c r="M14" s="28"/>
      <c r="N14" s="28"/>
      <c r="O14" s="27"/>
      <c r="Q14" s="28"/>
      <c r="R14" s="28"/>
      <c r="S14" s="42"/>
      <c r="T14" s="28"/>
      <c r="U14" s="28"/>
      <c r="V14" s="28"/>
      <c r="W14" s="28"/>
      <c r="X14" s="28"/>
      <c r="Y14" s="28"/>
      <c r="Z14" s="28"/>
      <c r="AA14" s="42"/>
      <c r="AB14" s="28"/>
      <c r="AC14" s="28"/>
      <c r="AD14" s="28"/>
      <c r="AE14" s="28"/>
      <c r="AF14" s="28"/>
      <c r="AG14" s="28"/>
      <c r="AH14" s="28"/>
      <c r="AI14" s="28"/>
      <c r="AJ14" s="28"/>
      <c r="AK14" s="28"/>
      <c r="AL14" s="28"/>
      <c r="AM14" s="28"/>
      <c r="AN14" s="28"/>
      <c r="AO14" s="28"/>
      <c r="AP14" s="28"/>
      <c r="AQ14" s="28"/>
      <c r="AR14" s="28"/>
      <c r="AS14" s="28"/>
      <c r="AT14" s="28"/>
      <c r="AU14" s="155"/>
    </row>
    <row r="15" spans="1:50" s="30" customFormat="1" x14ac:dyDescent="0.2">
      <c r="A15" s="26"/>
      <c r="B15" s="25"/>
      <c r="C15" s="27"/>
      <c r="D15" s="28"/>
      <c r="E15" s="29"/>
      <c r="F15" s="27"/>
      <c r="G15" s="29"/>
      <c r="H15" s="27"/>
      <c r="I15" s="27"/>
      <c r="J15" s="28"/>
      <c r="K15" s="28"/>
      <c r="L15" s="28"/>
      <c r="M15" s="28"/>
      <c r="N15" s="28"/>
      <c r="O15" s="27"/>
      <c r="Q15" s="28"/>
      <c r="R15" s="28"/>
      <c r="S15" s="42"/>
      <c r="T15" s="28"/>
      <c r="U15" s="28"/>
      <c r="V15" s="28"/>
      <c r="W15" s="28"/>
      <c r="X15" s="28"/>
      <c r="Y15" s="28"/>
      <c r="Z15" s="28"/>
      <c r="AA15" s="42"/>
      <c r="AB15" s="28"/>
      <c r="AC15" s="28"/>
      <c r="AD15" s="28"/>
      <c r="AE15" s="28"/>
      <c r="AF15" s="28"/>
      <c r="AG15" s="28"/>
      <c r="AH15" s="28"/>
      <c r="AI15" s="28"/>
      <c r="AJ15" s="28"/>
      <c r="AK15" s="28"/>
      <c r="AL15" s="28"/>
      <c r="AM15" s="28"/>
      <c r="AN15" s="28"/>
      <c r="AO15" s="28"/>
      <c r="AP15" s="28"/>
      <c r="AQ15" s="28"/>
      <c r="AR15" s="28"/>
      <c r="AS15" s="28"/>
      <c r="AT15" s="28"/>
      <c r="AU15" s="155"/>
    </row>
    <row r="16" spans="1:50" s="30" customFormat="1" x14ac:dyDescent="0.2">
      <c r="A16" s="26"/>
      <c r="B16" s="25"/>
      <c r="C16" s="27"/>
      <c r="D16" s="28"/>
      <c r="E16" s="29"/>
      <c r="F16" s="27"/>
      <c r="G16" s="29"/>
      <c r="H16" s="27"/>
      <c r="I16" s="27"/>
      <c r="J16" s="28"/>
      <c r="K16" s="28"/>
      <c r="L16" s="28"/>
      <c r="M16" s="28"/>
      <c r="N16" s="28"/>
      <c r="O16" s="27"/>
      <c r="Q16" s="28"/>
      <c r="R16" s="28"/>
      <c r="S16" s="42"/>
      <c r="T16" s="28"/>
      <c r="U16" s="28"/>
      <c r="V16" s="28"/>
      <c r="W16" s="28"/>
      <c r="X16" s="28"/>
      <c r="Y16" s="28"/>
      <c r="Z16" s="28"/>
      <c r="AA16" s="42"/>
      <c r="AB16" s="28"/>
      <c r="AC16" s="28"/>
      <c r="AD16" s="28"/>
      <c r="AE16" s="28"/>
      <c r="AF16" s="28"/>
      <c r="AG16" s="28"/>
      <c r="AH16" s="28"/>
      <c r="AI16" s="28"/>
      <c r="AJ16" s="28"/>
      <c r="AK16" s="28"/>
      <c r="AL16" s="28"/>
      <c r="AM16" s="28"/>
      <c r="AN16" s="28"/>
      <c r="AO16" s="28"/>
      <c r="AP16" s="28"/>
      <c r="AQ16" s="28"/>
      <c r="AR16" s="28"/>
      <c r="AS16" s="28"/>
      <c r="AT16" s="28"/>
      <c r="AU16" s="155"/>
    </row>
    <row r="17" spans="1:47" s="30" customFormat="1" x14ac:dyDescent="0.2">
      <c r="A17" s="26"/>
      <c r="B17" s="25"/>
      <c r="C17" s="27"/>
      <c r="D17" s="28"/>
      <c r="E17" s="29"/>
      <c r="F17" s="27"/>
      <c r="G17" s="29"/>
      <c r="H17" s="27"/>
      <c r="I17" s="27"/>
      <c r="J17" s="28"/>
      <c r="K17" s="28"/>
      <c r="L17" s="28"/>
      <c r="M17" s="28"/>
      <c r="N17" s="28"/>
      <c r="O17" s="27"/>
      <c r="Q17" s="28"/>
      <c r="R17" s="28"/>
      <c r="S17" s="42"/>
      <c r="T17" s="28"/>
      <c r="U17" s="28"/>
      <c r="V17" s="28"/>
      <c r="W17" s="28"/>
      <c r="X17" s="28"/>
      <c r="Y17" s="28"/>
      <c r="Z17" s="28"/>
      <c r="AA17" s="42"/>
      <c r="AB17" s="28"/>
      <c r="AC17" s="28"/>
      <c r="AD17" s="28"/>
      <c r="AE17" s="28"/>
      <c r="AF17" s="28"/>
      <c r="AG17" s="28"/>
      <c r="AH17" s="28"/>
      <c r="AI17" s="28"/>
      <c r="AJ17" s="28"/>
      <c r="AK17" s="28"/>
      <c r="AL17" s="28"/>
      <c r="AM17" s="28"/>
      <c r="AN17" s="28"/>
      <c r="AO17" s="28"/>
      <c r="AP17" s="28"/>
      <c r="AQ17" s="28"/>
      <c r="AR17" s="28"/>
      <c r="AS17" s="28"/>
      <c r="AT17" s="28"/>
      <c r="AU17" s="247"/>
    </row>
    <row r="18" spans="1:47" s="30" customFormat="1" x14ac:dyDescent="0.2">
      <c r="A18" s="26"/>
      <c r="B18" s="25"/>
      <c r="C18" s="27"/>
      <c r="D18" s="28"/>
      <c r="E18" s="29"/>
      <c r="F18" s="27"/>
      <c r="G18" s="29"/>
      <c r="H18" s="27"/>
      <c r="I18" s="27"/>
      <c r="J18" s="28"/>
      <c r="K18" s="28"/>
      <c r="L18" s="28"/>
      <c r="M18" s="28"/>
      <c r="N18" s="28"/>
      <c r="O18" s="27"/>
      <c r="Q18" s="28"/>
      <c r="R18" s="28"/>
      <c r="S18" s="42"/>
      <c r="T18" s="28"/>
      <c r="U18" s="28"/>
      <c r="V18" s="28"/>
      <c r="W18" s="28"/>
      <c r="X18" s="28"/>
      <c r="Y18" s="28"/>
      <c r="Z18" s="28"/>
      <c r="AA18" s="42"/>
      <c r="AB18" s="28"/>
      <c r="AC18" s="28"/>
      <c r="AD18" s="28"/>
      <c r="AE18" s="28"/>
      <c r="AF18" s="28"/>
      <c r="AG18" s="28"/>
      <c r="AH18" s="28"/>
      <c r="AI18" s="28"/>
      <c r="AJ18" s="28"/>
      <c r="AK18" s="28"/>
      <c r="AL18" s="28"/>
      <c r="AM18" s="28"/>
      <c r="AN18" s="28"/>
      <c r="AO18" s="28"/>
      <c r="AP18" s="28"/>
      <c r="AQ18" s="28"/>
      <c r="AR18" s="28"/>
      <c r="AS18" s="28"/>
      <c r="AT18" s="28"/>
      <c r="AU18" s="247"/>
    </row>
    <row r="19" spans="1:47" s="30" customFormat="1" x14ac:dyDescent="0.2">
      <c r="A19" s="26"/>
      <c r="B19" s="25"/>
      <c r="C19" s="27"/>
      <c r="D19" s="28"/>
      <c r="E19" s="29"/>
      <c r="F19" s="27"/>
      <c r="G19" s="29"/>
      <c r="H19" s="27"/>
      <c r="I19" s="27"/>
      <c r="J19" s="28"/>
      <c r="K19" s="28"/>
      <c r="L19" s="28"/>
      <c r="M19" s="28"/>
      <c r="N19" s="28"/>
      <c r="O19" s="27"/>
      <c r="Q19" s="28"/>
      <c r="R19" s="28"/>
      <c r="S19" s="42"/>
      <c r="T19" s="28"/>
      <c r="U19" s="28"/>
      <c r="V19" s="28"/>
      <c r="W19" s="28"/>
      <c r="X19" s="28"/>
      <c r="Y19" s="28"/>
      <c r="Z19" s="28"/>
      <c r="AA19" s="42"/>
      <c r="AB19" s="28"/>
      <c r="AC19" s="28"/>
      <c r="AD19" s="28"/>
      <c r="AE19" s="28"/>
      <c r="AF19" s="28"/>
      <c r="AG19" s="28"/>
      <c r="AH19" s="28"/>
      <c r="AI19" s="28"/>
      <c r="AJ19" s="28"/>
      <c r="AK19" s="28"/>
      <c r="AL19" s="28"/>
      <c r="AM19" s="28"/>
      <c r="AN19" s="28"/>
      <c r="AO19" s="28"/>
      <c r="AP19" s="28"/>
      <c r="AQ19" s="28"/>
      <c r="AR19" s="28"/>
      <c r="AS19" s="28"/>
      <c r="AT19" s="28"/>
      <c r="AU19" s="247"/>
    </row>
    <row r="20" spans="1:47" s="30" customFormat="1" x14ac:dyDescent="0.2">
      <c r="A20" s="26"/>
      <c r="B20" s="25"/>
      <c r="C20" s="27"/>
      <c r="D20" s="28"/>
      <c r="E20" s="29"/>
      <c r="F20" s="27"/>
      <c r="G20" s="29"/>
      <c r="H20" s="27"/>
      <c r="I20" s="27"/>
      <c r="J20" s="28"/>
      <c r="K20" s="28"/>
      <c r="L20" s="28"/>
      <c r="M20" s="28"/>
      <c r="N20" s="28"/>
      <c r="O20" s="27"/>
      <c r="Q20" s="28"/>
      <c r="R20" s="28"/>
      <c r="S20" s="42"/>
      <c r="T20" s="28"/>
      <c r="U20" s="28"/>
      <c r="V20" s="28"/>
      <c r="W20" s="28"/>
      <c r="X20" s="28"/>
      <c r="Y20" s="28"/>
      <c r="Z20" s="28"/>
      <c r="AA20" s="42"/>
      <c r="AB20" s="28"/>
      <c r="AC20" s="28"/>
      <c r="AD20" s="28"/>
      <c r="AE20" s="28"/>
      <c r="AF20" s="28"/>
      <c r="AG20" s="28"/>
      <c r="AH20" s="28"/>
      <c r="AI20" s="28"/>
      <c r="AJ20" s="28"/>
      <c r="AK20" s="28"/>
      <c r="AL20" s="28"/>
      <c r="AM20" s="28"/>
      <c r="AN20" s="28"/>
      <c r="AO20" s="28"/>
      <c r="AP20" s="28"/>
      <c r="AQ20" s="28"/>
      <c r="AR20" s="28"/>
      <c r="AS20" s="28"/>
      <c r="AT20" s="28"/>
      <c r="AU20" s="247"/>
    </row>
    <row r="21" spans="1:47" s="30" customFormat="1" x14ac:dyDescent="0.2">
      <c r="A21" s="26"/>
      <c r="B21" s="25"/>
      <c r="C21" s="27"/>
      <c r="D21" s="28"/>
      <c r="E21" s="29"/>
      <c r="F21" s="27"/>
      <c r="G21" s="29"/>
      <c r="H21" s="27"/>
      <c r="I21" s="27"/>
      <c r="J21" s="28"/>
      <c r="K21" s="28"/>
      <c r="L21" s="28"/>
      <c r="M21" s="28"/>
      <c r="N21" s="28"/>
      <c r="O21" s="27"/>
      <c r="Q21" s="28"/>
      <c r="R21" s="28"/>
      <c r="S21" s="42"/>
      <c r="T21" s="28"/>
      <c r="U21" s="28"/>
      <c r="V21" s="28"/>
      <c r="W21" s="28"/>
      <c r="X21" s="28"/>
      <c r="Y21" s="28"/>
      <c r="Z21" s="28"/>
      <c r="AA21" s="42"/>
      <c r="AB21" s="28"/>
      <c r="AC21" s="28"/>
      <c r="AD21" s="28"/>
      <c r="AE21" s="28"/>
      <c r="AF21" s="28"/>
      <c r="AG21" s="28"/>
      <c r="AH21" s="28"/>
      <c r="AI21" s="28"/>
      <c r="AJ21" s="28"/>
      <c r="AK21" s="28"/>
      <c r="AL21" s="28"/>
      <c r="AM21" s="28"/>
      <c r="AN21" s="28"/>
      <c r="AO21" s="28"/>
      <c r="AP21" s="28"/>
      <c r="AQ21" s="28"/>
      <c r="AR21" s="28"/>
      <c r="AS21" s="28"/>
      <c r="AT21" s="28"/>
      <c r="AU21" s="247"/>
    </row>
    <row r="22" spans="1:47" s="32" customFormat="1" x14ac:dyDescent="0.2">
      <c r="A22" s="26"/>
      <c r="B22" s="31"/>
      <c r="C22" s="27"/>
      <c r="D22" s="28"/>
      <c r="E22" s="29"/>
      <c r="F22" s="27"/>
      <c r="G22" s="29"/>
      <c r="H22" s="27"/>
      <c r="I22" s="27"/>
      <c r="J22" s="28"/>
      <c r="K22" s="28"/>
      <c r="L22" s="28"/>
      <c r="M22" s="28"/>
      <c r="N22" s="28"/>
      <c r="O22" s="27"/>
      <c r="Q22" s="28"/>
      <c r="R22" s="28"/>
      <c r="S22" s="42"/>
      <c r="T22" s="28"/>
      <c r="U22" s="28"/>
      <c r="V22" s="28"/>
      <c r="W22" s="28"/>
      <c r="X22" s="28"/>
      <c r="Y22" s="28"/>
      <c r="Z22" s="28"/>
      <c r="AA22" s="42"/>
      <c r="AB22" s="28"/>
      <c r="AC22" s="28"/>
      <c r="AD22" s="28"/>
      <c r="AE22" s="28"/>
      <c r="AF22" s="28"/>
      <c r="AG22" s="28"/>
      <c r="AH22" s="28"/>
      <c r="AI22" s="28"/>
      <c r="AJ22" s="28"/>
      <c r="AK22" s="28"/>
      <c r="AL22" s="28"/>
      <c r="AM22" s="28"/>
      <c r="AN22" s="28"/>
      <c r="AO22" s="28"/>
      <c r="AP22" s="28"/>
      <c r="AQ22" s="28"/>
      <c r="AR22" s="28"/>
      <c r="AS22" s="28"/>
      <c r="AT22" s="28"/>
      <c r="AU22" s="247"/>
    </row>
    <row r="23" spans="1:47" s="32" customFormat="1" x14ac:dyDescent="0.2">
      <c r="A23" s="26"/>
      <c r="B23" s="31"/>
      <c r="C23" s="27"/>
      <c r="D23" s="28"/>
      <c r="E23" s="29"/>
      <c r="F23" s="27"/>
      <c r="G23" s="29"/>
      <c r="H23" s="27"/>
      <c r="I23" s="27"/>
      <c r="J23" s="28"/>
      <c r="K23" s="28"/>
      <c r="L23" s="28"/>
      <c r="M23" s="28"/>
      <c r="N23" s="28"/>
      <c r="O23" s="27"/>
      <c r="Q23" s="28"/>
      <c r="R23" s="28"/>
      <c r="S23" s="42"/>
      <c r="T23" s="28"/>
      <c r="U23" s="28"/>
      <c r="V23" s="28"/>
      <c r="W23" s="28"/>
      <c r="X23" s="28"/>
      <c r="Y23" s="28"/>
      <c r="Z23" s="28"/>
      <c r="AA23" s="42"/>
      <c r="AB23" s="28"/>
      <c r="AC23" s="28"/>
      <c r="AD23" s="28"/>
      <c r="AE23" s="28"/>
      <c r="AF23" s="28"/>
      <c r="AG23" s="28"/>
      <c r="AH23" s="28"/>
      <c r="AI23" s="28"/>
      <c r="AJ23" s="28"/>
      <c r="AK23" s="28"/>
      <c r="AL23" s="28"/>
      <c r="AM23" s="28"/>
      <c r="AN23" s="28"/>
      <c r="AO23" s="28"/>
      <c r="AP23" s="28"/>
      <c r="AQ23" s="28"/>
      <c r="AR23" s="28"/>
      <c r="AS23" s="28"/>
      <c r="AT23" s="28"/>
      <c r="AU23" s="247"/>
    </row>
    <row r="24" spans="1:47" s="30" customFormat="1" x14ac:dyDescent="0.2">
      <c r="A24" s="26"/>
      <c r="B24" s="25"/>
      <c r="C24" s="27"/>
      <c r="D24" s="28"/>
      <c r="E24" s="29"/>
      <c r="F24" s="27"/>
      <c r="G24" s="29"/>
      <c r="H24" s="27"/>
      <c r="I24" s="27"/>
      <c r="J24" s="28"/>
      <c r="K24" s="28"/>
      <c r="L24" s="28"/>
      <c r="M24" s="27"/>
      <c r="N24" s="28"/>
      <c r="O24" s="27"/>
      <c r="Q24" s="28"/>
      <c r="R24" s="28"/>
      <c r="S24" s="42"/>
      <c r="T24" s="28"/>
      <c r="U24" s="28"/>
      <c r="V24" s="28"/>
      <c r="W24" s="28"/>
      <c r="X24" s="28"/>
      <c r="Y24" s="28"/>
      <c r="Z24" s="28"/>
      <c r="AA24" s="42"/>
      <c r="AB24" s="28"/>
      <c r="AC24" s="28"/>
      <c r="AD24" s="28"/>
      <c r="AE24" s="28"/>
      <c r="AF24" s="28"/>
      <c r="AG24" s="28"/>
      <c r="AH24" s="28"/>
      <c r="AI24" s="28"/>
      <c r="AJ24" s="28"/>
      <c r="AK24" s="28"/>
      <c r="AL24" s="28"/>
      <c r="AM24" s="28"/>
      <c r="AN24" s="28"/>
      <c r="AO24" s="28"/>
      <c r="AP24" s="28"/>
      <c r="AQ24" s="28"/>
      <c r="AR24" s="28"/>
      <c r="AS24" s="28"/>
      <c r="AT24" s="28"/>
      <c r="AU24" s="247"/>
    </row>
    <row r="25" spans="1:47" s="30" customFormat="1" x14ac:dyDescent="0.2">
      <c r="A25" s="26"/>
      <c r="B25" s="25"/>
      <c r="C25" s="27"/>
      <c r="D25" s="28"/>
      <c r="E25" s="29"/>
      <c r="F25" s="27"/>
      <c r="G25" s="29"/>
      <c r="H25" s="27"/>
      <c r="I25" s="27"/>
      <c r="J25" s="28"/>
      <c r="K25" s="28"/>
      <c r="L25" s="28"/>
      <c r="M25" s="28"/>
      <c r="N25" s="28"/>
      <c r="O25" s="27"/>
      <c r="Q25" s="28"/>
      <c r="R25" s="28"/>
      <c r="S25" s="42"/>
      <c r="T25" s="28"/>
      <c r="U25" s="28"/>
      <c r="V25" s="28"/>
      <c r="W25" s="28"/>
      <c r="X25" s="28"/>
      <c r="Y25" s="28"/>
      <c r="Z25" s="28"/>
      <c r="AA25" s="42"/>
      <c r="AB25" s="28"/>
      <c r="AC25" s="28"/>
      <c r="AD25" s="28"/>
      <c r="AE25" s="28"/>
      <c r="AF25" s="28"/>
      <c r="AG25" s="28"/>
      <c r="AH25" s="28"/>
      <c r="AI25" s="28"/>
      <c r="AJ25" s="28"/>
      <c r="AK25" s="28"/>
      <c r="AL25" s="28"/>
      <c r="AM25" s="28"/>
      <c r="AN25" s="28"/>
      <c r="AO25" s="28"/>
      <c r="AP25" s="28"/>
      <c r="AQ25" s="28"/>
      <c r="AR25" s="28"/>
      <c r="AS25" s="28"/>
      <c r="AT25" s="28"/>
      <c r="AU25" s="247"/>
    </row>
    <row r="26" spans="1:47" s="30" customFormat="1" x14ac:dyDescent="0.2">
      <c r="A26" s="26"/>
      <c r="B26" s="25"/>
      <c r="C26" s="27"/>
      <c r="D26" s="28"/>
      <c r="E26" s="29"/>
      <c r="F26" s="27"/>
      <c r="G26" s="29"/>
      <c r="H26" s="27"/>
      <c r="I26" s="27"/>
      <c r="J26" s="28"/>
      <c r="K26" s="28"/>
      <c r="L26" s="28"/>
      <c r="M26" s="28"/>
      <c r="N26" s="28"/>
      <c r="O26" s="27"/>
      <c r="Q26" s="28"/>
      <c r="R26" s="28"/>
      <c r="S26" s="42"/>
      <c r="T26" s="28"/>
      <c r="U26" s="28"/>
      <c r="V26" s="28"/>
      <c r="W26" s="28"/>
      <c r="X26" s="28"/>
      <c r="Y26" s="28"/>
      <c r="Z26" s="28"/>
      <c r="AA26" s="42"/>
      <c r="AB26" s="28"/>
      <c r="AC26" s="28"/>
      <c r="AD26" s="28"/>
      <c r="AE26" s="28"/>
      <c r="AF26" s="28"/>
      <c r="AG26" s="28"/>
      <c r="AH26" s="28"/>
      <c r="AI26" s="28"/>
      <c r="AJ26" s="28"/>
      <c r="AK26" s="28"/>
      <c r="AL26" s="28"/>
      <c r="AM26" s="28"/>
      <c r="AN26" s="28"/>
      <c r="AO26" s="28"/>
      <c r="AP26" s="28"/>
      <c r="AQ26" s="28"/>
      <c r="AR26" s="28"/>
      <c r="AS26" s="28"/>
      <c r="AT26" s="28"/>
      <c r="AU26" s="247"/>
    </row>
    <row r="27" spans="1:47" s="30" customFormat="1" x14ac:dyDescent="0.2">
      <c r="A27" s="26"/>
      <c r="B27" s="25"/>
      <c r="C27" s="27"/>
      <c r="D27" s="28"/>
      <c r="E27" s="29"/>
      <c r="F27" s="27"/>
      <c r="G27" s="29"/>
      <c r="H27" s="27"/>
      <c r="I27" s="27"/>
      <c r="J27" s="28"/>
      <c r="K27" s="28"/>
      <c r="L27" s="28"/>
      <c r="M27" s="28"/>
      <c r="N27" s="28"/>
      <c r="O27" s="27"/>
      <c r="Q27" s="28"/>
      <c r="R27" s="28"/>
      <c r="S27" s="42"/>
      <c r="T27" s="28"/>
      <c r="U27" s="28"/>
      <c r="V27" s="28"/>
      <c r="W27" s="28"/>
      <c r="X27" s="28"/>
      <c r="Y27" s="28"/>
      <c r="Z27" s="28"/>
      <c r="AA27" s="42"/>
      <c r="AB27" s="28"/>
      <c r="AC27" s="28"/>
      <c r="AD27" s="28"/>
      <c r="AE27" s="28"/>
      <c r="AF27" s="28"/>
      <c r="AG27" s="28"/>
      <c r="AH27" s="28"/>
      <c r="AI27" s="28"/>
      <c r="AJ27" s="28"/>
      <c r="AK27" s="28"/>
      <c r="AL27" s="28"/>
      <c r="AM27" s="28"/>
      <c r="AN27" s="28"/>
      <c r="AO27" s="28"/>
      <c r="AP27" s="28"/>
      <c r="AQ27" s="28"/>
      <c r="AR27" s="28"/>
      <c r="AS27" s="28"/>
      <c r="AT27" s="28"/>
      <c r="AU27" s="247"/>
    </row>
    <row r="28" spans="1:47" s="30" customFormat="1" x14ac:dyDescent="0.2">
      <c r="A28" s="26"/>
      <c r="B28" s="25"/>
      <c r="C28" s="27"/>
      <c r="D28" s="28"/>
      <c r="E28" s="29"/>
      <c r="F28" s="27"/>
      <c r="G28" s="29"/>
      <c r="H28" s="27"/>
      <c r="I28" s="27"/>
      <c r="J28" s="28"/>
      <c r="K28" s="28"/>
      <c r="L28" s="28"/>
      <c r="M28" s="28"/>
      <c r="N28" s="28"/>
      <c r="O28" s="27"/>
      <c r="Q28" s="28"/>
      <c r="R28" s="28"/>
      <c r="S28" s="42"/>
      <c r="T28" s="28"/>
      <c r="U28" s="28"/>
      <c r="V28" s="28"/>
      <c r="W28" s="28"/>
      <c r="X28" s="28"/>
      <c r="Y28" s="28"/>
      <c r="Z28" s="28"/>
      <c r="AA28" s="42"/>
      <c r="AB28" s="28"/>
      <c r="AC28" s="28"/>
      <c r="AD28" s="28"/>
      <c r="AE28" s="28"/>
      <c r="AF28" s="28"/>
      <c r="AG28" s="28"/>
      <c r="AH28" s="28"/>
      <c r="AI28" s="28"/>
      <c r="AJ28" s="28"/>
      <c r="AK28" s="28"/>
      <c r="AL28" s="28"/>
      <c r="AM28" s="28"/>
      <c r="AN28" s="28"/>
      <c r="AO28" s="28"/>
      <c r="AP28" s="28"/>
      <c r="AQ28" s="28"/>
      <c r="AR28" s="28"/>
      <c r="AS28" s="28"/>
      <c r="AT28" s="28"/>
      <c r="AU28" s="247"/>
    </row>
    <row r="29" spans="1:47" s="30" customFormat="1" x14ac:dyDescent="0.2">
      <c r="A29" s="26"/>
      <c r="B29" s="25"/>
      <c r="C29" s="27"/>
      <c r="D29" s="28"/>
      <c r="E29" s="29"/>
      <c r="F29" s="27"/>
      <c r="G29" s="29"/>
      <c r="H29" s="27"/>
      <c r="I29" s="27"/>
      <c r="J29" s="28"/>
      <c r="K29" s="28"/>
      <c r="L29" s="28"/>
      <c r="M29" s="28"/>
      <c r="N29" s="28"/>
      <c r="O29" s="27"/>
      <c r="Q29" s="28"/>
      <c r="R29" s="28"/>
      <c r="S29" s="42"/>
      <c r="T29" s="28"/>
      <c r="U29" s="28"/>
      <c r="V29" s="28"/>
      <c r="W29" s="28"/>
      <c r="X29" s="28"/>
      <c r="Y29" s="28"/>
      <c r="Z29" s="28"/>
      <c r="AA29" s="42"/>
      <c r="AB29" s="28"/>
      <c r="AC29" s="28"/>
      <c r="AD29" s="28"/>
      <c r="AE29" s="28"/>
      <c r="AF29" s="28"/>
      <c r="AG29" s="28"/>
      <c r="AH29" s="28"/>
      <c r="AI29" s="28"/>
      <c r="AJ29" s="28"/>
      <c r="AK29" s="28"/>
      <c r="AL29" s="28"/>
      <c r="AM29" s="28"/>
      <c r="AN29" s="28"/>
      <c r="AO29" s="28"/>
      <c r="AP29" s="28"/>
      <c r="AQ29" s="28"/>
      <c r="AR29" s="28"/>
      <c r="AS29" s="28"/>
      <c r="AT29" s="28"/>
      <c r="AU29" s="247"/>
    </row>
    <row r="30" spans="1:47" s="32" customFormat="1" x14ac:dyDescent="0.2">
      <c r="A30" s="26"/>
      <c r="B30" s="31"/>
      <c r="C30" s="27"/>
      <c r="D30" s="28"/>
      <c r="E30" s="29"/>
      <c r="F30" s="27"/>
      <c r="G30" s="29"/>
      <c r="H30" s="27"/>
      <c r="I30" s="27"/>
      <c r="J30" s="28"/>
      <c r="K30" s="28"/>
      <c r="L30" s="28"/>
      <c r="M30" s="28"/>
      <c r="N30" s="28"/>
      <c r="O30" s="27"/>
      <c r="Q30" s="28"/>
      <c r="R30" s="28"/>
      <c r="S30" s="42"/>
      <c r="T30" s="28"/>
      <c r="U30" s="28"/>
      <c r="V30" s="28"/>
      <c r="W30" s="28"/>
      <c r="X30" s="28"/>
      <c r="Y30" s="28"/>
      <c r="Z30" s="28"/>
      <c r="AA30" s="42"/>
      <c r="AB30" s="28"/>
      <c r="AC30" s="28"/>
      <c r="AD30" s="28"/>
      <c r="AE30" s="28"/>
      <c r="AF30" s="28"/>
      <c r="AG30" s="28"/>
      <c r="AH30" s="28"/>
      <c r="AI30" s="28"/>
      <c r="AJ30" s="28"/>
      <c r="AK30" s="28"/>
      <c r="AL30" s="28"/>
      <c r="AM30" s="28"/>
      <c r="AN30" s="28"/>
      <c r="AO30" s="28"/>
      <c r="AP30" s="28"/>
      <c r="AQ30" s="28"/>
      <c r="AR30" s="28"/>
      <c r="AS30" s="28"/>
      <c r="AT30" s="28"/>
      <c r="AU30" s="247"/>
    </row>
    <row r="31" spans="1:47" s="30" customFormat="1" x14ac:dyDescent="0.2">
      <c r="A31" s="26"/>
      <c r="B31" s="25"/>
      <c r="C31" s="27"/>
      <c r="D31" s="28"/>
      <c r="E31" s="29"/>
      <c r="F31" s="27"/>
      <c r="G31" s="29"/>
      <c r="H31" s="27"/>
      <c r="I31" s="27"/>
      <c r="J31" s="28"/>
      <c r="K31" s="28"/>
      <c r="L31" s="28"/>
      <c r="M31" s="28"/>
      <c r="N31" s="28"/>
      <c r="O31" s="27"/>
      <c r="Q31" s="28"/>
      <c r="R31" s="28"/>
      <c r="S31" s="42"/>
      <c r="T31" s="28"/>
      <c r="U31" s="28"/>
      <c r="V31" s="28"/>
      <c r="W31" s="28"/>
      <c r="X31" s="28"/>
      <c r="Y31" s="28"/>
      <c r="Z31" s="28"/>
      <c r="AA31" s="42"/>
      <c r="AB31" s="28"/>
      <c r="AC31" s="28"/>
      <c r="AD31" s="28"/>
      <c r="AE31" s="28"/>
      <c r="AF31" s="28"/>
      <c r="AG31" s="28"/>
      <c r="AH31" s="28"/>
      <c r="AI31" s="28"/>
      <c r="AJ31" s="28"/>
      <c r="AK31" s="28"/>
      <c r="AL31" s="28"/>
      <c r="AM31" s="28"/>
      <c r="AN31" s="28"/>
      <c r="AO31" s="28"/>
      <c r="AP31" s="28"/>
      <c r="AQ31" s="28"/>
      <c r="AR31" s="28"/>
      <c r="AS31" s="28"/>
      <c r="AT31" s="28"/>
      <c r="AU31" s="247"/>
    </row>
    <row r="32" spans="1:47" s="32" customFormat="1" x14ac:dyDescent="0.2">
      <c r="A32" s="26"/>
      <c r="B32" s="31"/>
      <c r="C32" s="27"/>
      <c r="D32" s="28"/>
      <c r="E32" s="29"/>
      <c r="F32" s="27"/>
      <c r="G32" s="29"/>
      <c r="H32" s="27"/>
      <c r="I32" s="27"/>
      <c r="J32" s="28"/>
      <c r="K32" s="28"/>
      <c r="L32" s="28"/>
      <c r="M32" s="28"/>
      <c r="N32" s="28"/>
      <c r="O32" s="27"/>
      <c r="Q32" s="28"/>
      <c r="R32" s="28"/>
      <c r="S32" s="42"/>
      <c r="T32" s="28"/>
      <c r="U32" s="28"/>
      <c r="V32" s="28"/>
      <c r="W32" s="28"/>
      <c r="X32" s="28"/>
      <c r="Y32" s="28"/>
      <c r="Z32" s="28"/>
      <c r="AA32" s="42"/>
      <c r="AB32" s="28"/>
      <c r="AC32" s="28"/>
      <c r="AD32" s="28"/>
      <c r="AE32" s="28"/>
      <c r="AF32" s="28"/>
      <c r="AG32" s="28"/>
      <c r="AH32" s="28"/>
      <c r="AI32" s="28"/>
      <c r="AJ32" s="28"/>
      <c r="AK32" s="28"/>
      <c r="AL32" s="28"/>
      <c r="AM32" s="28"/>
      <c r="AN32" s="28"/>
      <c r="AO32" s="28"/>
      <c r="AP32" s="28"/>
      <c r="AQ32" s="28"/>
      <c r="AR32" s="28"/>
      <c r="AS32" s="28"/>
      <c r="AT32" s="28"/>
      <c r="AU32" s="247"/>
    </row>
    <row r="33" spans="1:47" s="32" customFormat="1" x14ac:dyDescent="0.2">
      <c r="A33" s="26"/>
      <c r="B33" s="31"/>
      <c r="C33" s="27"/>
      <c r="D33" s="28"/>
      <c r="E33" s="29"/>
      <c r="F33" s="27"/>
      <c r="G33" s="29"/>
      <c r="H33" s="27"/>
      <c r="I33" s="27"/>
      <c r="J33" s="28"/>
      <c r="K33" s="28"/>
      <c r="L33" s="28"/>
      <c r="M33" s="28"/>
      <c r="N33" s="28"/>
      <c r="O33" s="27"/>
      <c r="Q33" s="28"/>
      <c r="R33" s="28"/>
      <c r="S33" s="42"/>
      <c r="T33" s="28"/>
      <c r="U33" s="28"/>
      <c r="V33" s="28"/>
      <c r="W33" s="28"/>
      <c r="X33" s="28"/>
      <c r="Y33" s="28"/>
      <c r="Z33" s="28"/>
      <c r="AA33" s="42"/>
      <c r="AB33" s="28"/>
      <c r="AC33" s="28"/>
      <c r="AD33" s="28"/>
      <c r="AE33" s="28"/>
      <c r="AF33" s="28"/>
      <c r="AG33" s="28"/>
      <c r="AH33" s="28"/>
      <c r="AI33" s="28"/>
      <c r="AJ33" s="28"/>
      <c r="AK33" s="28"/>
      <c r="AL33" s="28"/>
      <c r="AM33" s="28"/>
      <c r="AN33" s="28"/>
      <c r="AO33" s="28"/>
      <c r="AP33" s="28"/>
      <c r="AQ33" s="28"/>
      <c r="AR33" s="28"/>
      <c r="AS33" s="28"/>
      <c r="AT33" s="28"/>
      <c r="AU33" s="247"/>
    </row>
    <row r="34" spans="1:47" s="30" customFormat="1" x14ac:dyDescent="0.2">
      <c r="A34" s="26"/>
      <c r="B34" s="25"/>
      <c r="C34" s="27"/>
      <c r="D34" s="28"/>
      <c r="E34" s="29"/>
      <c r="F34" s="27"/>
      <c r="G34" s="29"/>
      <c r="H34" s="27"/>
      <c r="I34" s="27"/>
      <c r="J34" s="28"/>
      <c r="K34" s="28"/>
      <c r="L34" s="28"/>
      <c r="M34" s="28"/>
      <c r="N34" s="28"/>
      <c r="O34" s="27"/>
      <c r="Q34" s="28"/>
      <c r="R34" s="28"/>
      <c r="S34" s="42"/>
      <c r="T34" s="28"/>
      <c r="U34" s="28"/>
      <c r="V34" s="28"/>
      <c r="W34" s="28"/>
      <c r="X34" s="28"/>
      <c r="Y34" s="28"/>
      <c r="Z34" s="28"/>
      <c r="AA34" s="42"/>
      <c r="AB34" s="28"/>
      <c r="AC34" s="28"/>
      <c r="AD34" s="28"/>
      <c r="AE34" s="28"/>
      <c r="AF34" s="28"/>
      <c r="AG34" s="28"/>
      <c r="AH34" s="28"/>
      <c r="AI34" s="28"/>
      <c r="AJ34" s="28"/>
      <c r="AK34" s="28"/>
      <c r="AL34" s="28"/>
      <c r="AM34" s="28"/>
      <c r="AN34" s="28"/>
      <c r="AO34" s="28"/>
      <c r="AP34" s="28"/>
      <c r="AQ34" s="28"/>
      <c r="AR34" s="28"/>
      <c r="AS34" s="28"/>
      <c r="AT34" s="28"/>
      <c r="AU34" s="247"/>
    </row>
    <row r="35" spans="1:47" s="32" customFormat="1" x14ac:dyDescent="0.2">
      <c r="A35" s="26"/>
      <c r="B35" s="31"/>
      <c r="C35" s="27"/>
      <c r="D35" s="28"/>
      <c r="E35" s="29"/>
      <c r="F35" s="27"/>
      <c r="G35" s="29"/>
      <c r="H35" s="27"/>
      <c r="I35" s="27"/>
      <c r="J35" s="28"/>
      <c r="K35" s="28"/>
      <c r="L35" s="28"/>
      <c r="M35" s="28"/>
      <c r="N35" s="28"/>
      <c r="O35" s="27"/>
      <c r="Q35" s="28"/>
      <c r="R35" s="28"/>
      <c r="S35" s="42"/>
      <c r="T35" s="28"/>
      <c r="U35" s="28"/>
      <c r="V35" s="28"/>
      <c r="W35" s="28"/>
      <c r="X35" s="28"/>
      <c r="Y35" s="28"/>
      <c r="Z35" s="28"/>
      <c r="AA35" s="42"/>
      <c r="AB35" s="28"/>
      <c r="AC35" s="28"/>
      <c r="AD35" s="28"/>
      <c r="AE35" s="28"/>
      <c r="AF35" s="28"/>
      <c r="AG35" s="28"/>
      <c r="AH35" s="28"/>
      <c r="AI35" s="28"/>
      <c r="AJ35" s="28"/>
      <c r="AK35" s="28"/>
      <c r="AL35" s="28"/>
      <c r="AM35" s="28"/>
      <c r="AN35" s="28"/>
      <c r="AO35" s="28"/>
      <c r="AP35" s="28"/>
      <c r="AQ35" s="28"/>
      <c r="AR35" s="28"/>
      <c r="AS35" s="28"/>
      <c r="AT35" s="28"/>
      <c r="AU35" s="247"/>
    </row>
    <row r="36" spans="1:47" s="30" customFormat="1" x14ac:dyDescent="0.2">
      <c r="A36" s="26"/>
      <c r="B36" s="25"/>
      <c r="C36" s="27"/>
      <c r="D36" s="28"/>
      <c r="E36" s="29"/>
      <c r="F36" s="27"/>
      <c r="G36" s="29"/>
      <c r="H36" s="27"/>
      <c r="I36" s="27"/>
      <c r="J36" s="28"/>
      <c r="K36" s="28"/>
      <c r="L36" s="28"/>
      <c r="M36" s="28"/>
      <c r="N36" s="28"/>
      <c r="O36" s="27"/>
      <c r="Q36" s="28"/>
      <c r="R36" s="28"/>
      <c r="S36" s="42"/>
      <c r="T36" s="28"/>
      <c r="U36" s="28"/>
      <c r="V36" s="28"/>
      <c r="W36" s="28"/>
      <c r="X36" s="28"/>
      <c r="Y36" s="28"/>
      <c r="Z36" s="28"/>
      <c r="AA36" s="42"/>
      <c r="AB36" s="28"/>
      <c r="AC36" s="28"/>
      <c r="AD36" s="28"/>
      <c r="AE36" s="28"/>
      <c r="AF36" s="28"/>
      <c r="AG36" s="28"/>
      <c r="AH36" s="28"/>
      <c r="AI36" s="28"/>
      <c r="AJ36" s="28"/>
      <c r="AK36" s="28"/>
      <c r="AL36" s="28"/>
      <c r="AM36" s="28"/>
      <c r="AN36" s="28"/>
      <c r="AO36" s="28"/>
      <c r="AP36" s="28"/>
      <c r="AQ36" s="28"/>
      <c r="AR36" s="28"/>
      <c r="AS36" s="28"/>
      <c r="AT36" s="28"/>
      <c r="AU36" s="247"/>
    </row>
    <row r="37" spans="1:47" s="30" customFormat="1" x14ac:dyDescent="0.2">
      <c r="A37" s="25"/>
      <c r="B37" s="25"/>
      <c r="C37" s="33"/>
      <c r="D37" s="25"/>
      <c r="E37" s="34"/>
      <c r="F37" s="26"/>
      <c r="G37" s="34"/>
      <c r="H37" s="26"/>
      <c r="I37" s="35"/>
      <c r="J37" s="36"/>
      <c r="K37" s="36"/>
      <c r="L37" s="36"/>
      <c r="M37" s="36"/>
      <c r="N37" s="36"/>
      <c r="O37" s="35"/>
      <c r="Q37" s="36"/>
      <c r="R37" s="36"/>
      <c r="S37" s="43"/>
      <c r="T37" s="36"/>
      <c r="U37" s="59"/>
      <c r="V37" s="36"/>
      <c r="W37" s="59"/>
      <c r="X37" s="36"/>
      <c r="Y37" s="36"/>
      <c r="Z37" s="36"/>
      <c r="AA37" s="43"/>
      <c r="AB37" s="36"/>
      <c r="AC37" s="59"/>
      <c r="AD37" s="36"/>
      <c r="AE37" s="59"/>
      <c r="AF37" s="59"/>
      <c r="AG37" s="36"/>
      <c r="AH37" s="59"/>
      <c r="AI37" s="59"/>
      <c r="AJ37" s="36"/>
      <c r="AK37" s="59"/>
      <c r="AL37" s="59"/>
      <c r="AM37" s="36"/>
      <c r="AN37" s="59"/>
      <c r="AO37" s="59"/>
      <c r="AP37" s="59"/>
      <c r="AQ37" s="59"/>
      <c r="AR37" s="59"/>
      <c r="AS37" s="59"/>
      <c r="AT37" s="59"/>
      <c r="AU37" s="247"/>
    </row>
    <row r="38" spans="1:47" s="30" customFormat="1" x14ac:dyDescent="0.2">
      <c r="A38" s="25"/>
      <c r="B38" s="25"/>
      <c r="C38" s="33"/>
      <c r="D38" s="25"/>
      <c r="E38" s="34"/>
      <c r="F38" s="26"/>
      <c r="G38" s="34"/>
      <c r="H38" s="26"/>
      <c r="I38" s="35"/>
      <c r="J38" s="36"/>
      <c r="K38" s="36"/>
      <c r="L38" s="36"/>
      <c r="M38" s="36"/>
      <c r="N38" s="36"/>
      <c r="O38" s="35"/>
      <c r="Q38" s="36"/>
      <c r="R38" s="36"/>
      <c r="S38" s="43"/>
      <c r="T38" s="36"/>
      <c r="U38" s="59"/>
      <c r="V38" s="36"/>
      <c r="W38" s="59"/>
      <c r="X38" s="36"/>
      <c r="Y38" s="36"/>
      <c r="Z38" s="36"/>
      <c r="AA38" s="43"/>
      <c r="AB38" s="36"/>
      <c r="AC38" s="59"/>
      <c r="AD38" s="36"/>
      <c r="AE38" s="59"/>
      <c r="AF38" s="59"/>
      <c r="AG38" s="36"/>
      <c r="AH38" s="59"/>
      <c r="AI38" s="59"/>
      <c r="AJ38" s="36"/>
      <c r="AK38" s="59"/>
      <c r="AL38" s="59"/>
      <c r="AM38" s="36"/>
      <c r="AN38" s="59"/>
      <c r="AO38" s="59"/>
      <c r="AP38" s="59"/>
      <c r="AQ38" s="59"/>
      <c r="AR38" s="59"/>
      <c r="AS38" s="59"/>
      <c r="AT38" s="59"/>
      <c r="AU38" s="247"/>
    </row>
    <row r="39" spans="1:47" s="30" customFormat="1" x14ac:dyDescent="0.2">
      <c r="A39" s="25"/>
      <c r="B39" s="25"/>
      <c r="C39" s="33"/>
      <c r="D39" s="25"/>
      <c r="E39" s="34"/>
      <c r="F39" s="26"/>
      <c r="G39" s="34"/>
      <c r="H39" s="26"/>
      <c r="I39" s="35"/>
      <c r="J39" s="36"/>
      <c r="K39" s="36"/>
      <c r="L39" s="36"/>
      <c r="M39" s="36"/>
      <c r="N39" s="36"/>
      <c r="O39" s="35"/>
      <c r="Q39" s="36"/>
      <c r="R39" s="36"/>
      <c r="S39" s="43"/>
      <c r="T39" s="36"/>
      <c r="U39" s="59"/>
      <c r="V39" s="36"/>
      <c r="W39" s="59"/>
      <c r="X39" s="36"/>
      <c r="Y39" s="36"/>
      <c r="Z39" s="36"/>
      <c r="AA39" s="43"/>
      <c r="AB39" s="36"/>
      <c r="AC39" s="59"/>
      <c r="AD39" s="36"/>
      <c r="AE39" s="59"/>
      <c r="AF39" s="59"/>
      <c r="AG39" s="36"/>
      <c r="AH39" s="59"/>
      <c r="AI39" s="59"/>
      <c r="AJ39" s="36"/>
      <c r="AK39" s="59"/>
      <c r="AL39" s="59"/>
      <c r="AM39" s="36"/>
      <c r="AN39" s="59"/>
      <c r="AO39" s="59"/>
      <c r="AP39" s="59"/>
      <c r="AQ39" s="59"/>
      <c r="AR39" s="59"/>
      <c r="AS39" s="59"/>
      <c r="AT39" s="59"/>
      <c r="AU39" s="247"/>
    </row>
    <row r="40" spans="1:47" s="30" customFormat="1" x14ac:dyDescent="0.2">
      <c r="A40" s="25"/>
      <c r="B40" s="25"/>
      <c r="C40" s="33"/>
      <c r="D40" s="25"/>
      <c r="E40" s="34"/>
      <c r="F40" s="26"/>
      <c r="G40" s="34"/>
      <c r="H40" s="26"/>
      <c r="I40" s="35"/>
      <c r="J40" s="36"/>
      <c r="K40" s="36"/>
      <c r="L40" s="36"/>
      <c r="M40" s="36"/>
      <c r="N40" s="36"/>
      <c r="O40" s="35"/>
      <c r="Q40" s="36"/>
      <c r="R40" s="36"/>
      <c r="S40" s="43"/>
      <c r="T40" s="36"/>
      <c r="U40" s="59"/>
      <c r="V40" s="36"/>
      <c r="W40" s="59"/>
      <c r="X40" s="36"/>
      <c r="Y40" s="36"/>
      <c r="Z40" s="36"/>
      <c r="AA40" s="43"/>
      <c r="AB40" s="36"/>
      <c r="AC40" s="59"/>
      <c r="AD40" s="36"/>
      <c r="AE40" s="59"/>
      <c r="AF40" s="59"/>
      <c r="AG40" s="36"/>
      <c r="AH40" s="59"/>
      <c r="AI40" s="59"/>
      <c r="AJ40" s="36"/>
      <c r="AK40" s="59"/>
      <c r="AL40" s="59"/>
      <c r="AM40" s="36"/>
      <c r="AN40" s="59"/>
      <c r="AO40" s="59"/>
      <c r="AP40" s="59"/>
      <c r="AQ40" s="59"/>
      <c r="AR40" s="59"/>
      <c r="AS40" s="59"/>
      <c r="AT40" s="59"/>
      <c r="AU40" s="247"/>
    </row>
    <row r="41" spans="1:47" s="30" customFormat="1" x14ac:dyDescent="0.2">
      <c r="A41" s="25"/>
      <c r="B41" s="25"/>
      <c r="C41" s="33"/>
      <c r="D41" s="25"/>
      <c r="E41" s="34"/>
      <c r="F41" s="26"/>
      <c r="G41" s="34"/>
      <c r="H41" s="26"/>
      <c r="I41" s="35"/>
      <c r="J41" s="36"/>
      <c r="K41" s="36"/>
      <c r="L41" s="36"/>
      <c r="M41" s="36"/>
      <c r="N41" s="36"/>
      <c r="O41" s="35"/>
      <c r="Q41" s="36"/>
      <c r="R41" s="36"/>
      <c r="S41" s="43"/>
      <c r="T41" s="36"/>
      <c r="U41" s="59"/>
      <c r="V41" s="36"/>
      <c r="W41" s="59"/>
      <c r="X41" s="36"/>
      <c r="Y41" s="36"/>
      <c r="Z41" s="36"/>
      <c r="AA41" s="43"/>
      <c r="AB41" s="36"/>
      <c r="AC41" s="59"/>
      <c r="AD41" s="36"/>
      <c r="AE41" s="59"/>
      <c r="AF41" s="59"/>
      <c r="AG41" s="36"/>
      <c r="AH41" s="59"/>
      <c r="AI41" s="59"/>
      <c r="AJ41" s="36"/>
      <c r="AK41" s="59"/>
      <c r="AL41" s="59"/>
      <c r="AM41" s="36"/>
      <c r="AN41" s="59"/>
      <c r="AO41" s="59"/>
      <c r="AP41" s="59"/>
      <c r="AQ41" s="59"/>
      <c r="AR41" s="59"/>
      <c r="AS41" s="59"/>
      <c r="AT41" s="59"/>
      <c r="AU41" s="247"/>
    </row>
    <row r="42" spans="1:47" s="30" customFormat="1" x14ac:dyDescent="0.2">
      <c r="A42" s="25"/>
      <c r="B42" s="25"/>
      <c r="C42" s="33"/>
      <c r="D42" s="25"/>
      <c r="E42" s="34"/>
      <c r="F42" s="26"/>
      <c r="G42" s="34"/>
      <c r="H42" s="26"/>
      <c r="I42" s="35"/>
      <c r="J42" s="36"/>
      <c r="K42" s="36"/>
      <c r="L42" s="36"/>
      <c r="M42" s="36"/>
      <c r="N42" s="36"/>
      <c r="O42" s="35"/>
      <c r="Q42" s="36"/>
      <c r="R42" s="36"/>
      <c r="S42" s="43"/>
      <c r="T42" s="36"/>
      <c r="U42" s="59"/>
      <c r="V42" s="36"/>
      <c r="W42" s="59"/>
      <c r="X42" s="36"/>
      <c r="Y42" s="36"/>
      <c r="Z42" s="36"/>
      <c r="AA42" s="43"/>
      <c r="AB42" s="36"/>
      <c r="AC42" s="59"/>
      <c r="AD42" s="36"/>
      <c r="AE42" s="59"/>
      <c r="AF42" s="59"/>
      <c r="AG42" s="36"/>
      <c r="AH42" s="59"/>
      <c r="AI42" s="59"/>
      <c r="AJ42" s="36"/>
      <c r="AK42" s="59"/>
      <c r="AL42" s="59"/>
      <c r="AM42" s="36"/>
      <c r="AN42" s="59"/>
      <c r="AO42" s="59"/>
      <c r="AP42" s="59"/>
      <c r="AQ42" s="59"/>
      <c r="AR42" s="59"/>
      <c r="AS42" s="59"/>
      <c r="AT42" s="59"/>
      <c r="AU42" s="247"/>
    </row>
    <row r="43" spans="1:47" s="30" customFormat="1" x14ac:dyDescent="0.2">
      <c r="A43" s="25"/>
      <c r="B43" s="25"/>
      <c r="C43" s="33"/>
      <c r="D43" s="25"/>
      <c r="E43" s="34"/>
      <c r="F43" s="26"/>
      <c r="G43" s="34"/>
      <c r="H43" s="26"/>
      <c r="I43" s="35"/>
      <c r="J43" s="36"/>
      <c r="K43" s="36"/>
      <c r="L43" s="36"/>
      <c r="M43" s="36"/>
      <c r="N43" s="36"/>
      <c r="O43" s="35"/>
      <c r="Q43" s="36"/>
      <c r="R43" s="36"/>
      <c r="S43" s="43"/>
      <c r="T43" s="36"/>
      <c r="U43" s="59"/>
      <c r="V43" s="36"/>
      <c r="W43" s="59"/>
      <c r="X43" s="36"/>
      <c r="Y43" s="36"/>
      <c r="Z43" s="36"/>
      <c r="AA43" s="43"/>
      <c r="AB43" s="36"/>
      <c r="AC43" s="59"/>
      <c r="AD43" s="36"/>
      <c r="AE43" s="59"/>
      <c r="AF43" s="59"/>
      <c r="AG43" s="36"/>
      <c r="AH43" s="59"/>
      <c r="AI43" s="59"/>
      <c r="AJ43" s="36"/>
      <c r="AK43" s="59"/>
      <c r="AL43" s="59"/>
      <c r="AM43" s="36"/>
      <c r="AN43" s="59"/>
      <c r="AO43" s="59"/>
      <c r="AP43" s="59"/>
      <c r="AQ43" s="59"/>
      <c r="AR43" s="59"/>
      <c r="AS43" s="59"/>
      <c r="AT43" s="59"/>
      <c r="AU43" s="247"/>
    </row>
    <row r="44" spans="1:47" s="30" customFormat="1" x14ac:dyDescent="0.2">
      <c r="A44" s="25"/>
      <c r="B44" s="25"/>
      <c r="C44" s="33"/>
      <c r="D44" s="25"/>
      <c r="E44" s="34"/>
      <c r="F44" s="26"/>
      <c r="G44" s="34"/>
      <c r="H44" s="26"/>
      <c r="I44" s="35"/>
      <c r="J44" s="36"/>
      <c r="K44" s="36"/>
      <c r="L44" s="36"/>
      <c r="M44" s="36"/>
      <c r="N44" s="36"/>
      <c r="O44" s="35"/>
      <c r="Q44" s="36"/>
      <c r="R44" s="36"/>
      <c r="S44" s="43"/>
      <c r="T44" s="36"/>
      <c r="U44" s="59"/>
      <c r="V44" s="36"/>
      <c r="W44" s="59"/>
      <c r="X44" s="36"/>
      <c r="Y44" s="36"/>
      <c r="Z44" s="36"/>
      <c r="AA44" s="43"/>
      <c r="AB44" s="36"/>
      <c r="AC44" s="59"/>
      <c r="AD44" s="36"/>
      <c r="AE44" s="59"/>
      <c r="AF44" s="59"/>
      <c r="AG44" s="36"/>
      <c r="AH44" s="59"/>
      <c r="AI44" s="59"/>
      <c r="AJ44" s="36"/>
      <c r="AK44" s="59"/>
      <c r="AL44" s="59"/>
      <c r="AM44" s="36"/>
      <c r="AN44" s="59"/>
      <c r="AO44" s="59"/>
      <c r="AP44" s="59"/>
      <c r="AQ44" s="59"/>
      <c r="AR44" s="59"/>
      <c r="AS44" s="59"/>
      <c r="AT44" s="59"/>
      <c r="AU44" s="247"/>
    </row>
    <row r="45" spans="1:47" s="30" customFormat="1" x14ac:dyDescent="0.2">
      <c r="A45" s="25"/>
      <c r="B45" s="25"/>
      <c r="C45" s="33"/>
      <c r="D45" s="25"/>
      <c r="E45" s="34"/>
      <c r="F45" s="26"/>
      <c r="G45" s="34"/>
      <c r="H45" s="26"/>
      <c r="I45" s="35"/>
      <c r="J45" s="36"/>
      <c r="K45" s="36"/>
      <c r="L45" s="36"/>
      <c r="M45" s="36"/>
      <c r="N45" s="36"/>
      <c r="O45" s="35"/>
      <c r="Q45" s="36"/>
      <c r="R45" s="36"/>
      <c r="S45" s="43"/>
      <c r="T45" s="36"/>
      <c r="U45" s="59"/>
      <c r="V45" s="36"/>
      <c r="W45" s="59"/>
      <c r="X45" s="36"/>
      <c r="Y45" s="36"/>
      <c r="Z45" s="36"/>
      <c r="AA45" s="43"/>
      <c r="AB45" s="36"/>
      <c r="AC45" s="59"/>
      <c r="AD45" s="36"/>
      <c r="AE45" s="59"/>
      <c r="AF45" s="59"/>
      <c r="AG45" s="36"/>
      <c r="AH45" s="59"/>
      <c r="AI45" s="59"/>
      <c r="AJ45" s="36"/>
      <c r="AK45" s="59"/>
      <c r="AL45" s="59"/>
      <c r="AM45" s="36"/>
      <c r="AN45" s="59"/>
      <c r="AO45" s="59"/>
      <c r="AP45" s="59"/>
      <c r="AQ45" s="59"/>
      <c r="AR45" s="59"/>
      <c r="AS45" s="59"/>
      <c r="AT45" s="59"/>
      <c r="AU45" s="247"/>
    </row>
    <row r="46" spans="1:47" x14ac:dyDescent="0.2">
      <c r="I46" s="18"/>
      <c r="J46" s="19"/>
      <c r="K46" s="19"/>
      <c r="L46" s="19"/>
      <c r="M46" s="19"/>
      <c r="N46" s="19"/>
      <c r="O46" s="18"/>
      <c r="Q46" s="19"/>
      <c r="R46" s="19"/>
      <c r="S46" s="44"/>
      <c r="T46" s="19"/>
      <c r="U46" s="60"/>
      <c r="V46" s="19"/>
      <c r="W46" s="60"/>
      <c r="X46" s="19"/>
      <c r="Y46" s="19"/>
      <c r="Z46" s="19"/>
      <c r="AA46" s="44"/>
      <c r="AB46" s="19"/>
      <c r="AC46" s="60"/>
      <c r="AD46" s="19"/>
      <c r="AE46" s="60"/>
      <c r="AF46" s="60"/>
      <c r="AG46" s="19"/>
      <c r="AH46" s="60"/>
      <c r="AI46" s="60"/>
      <c r="AJ46" s="19"/>
      <c r="AK46" s="60"/>
      <c r="AL46" s="60"/>
      <c r="AM46" s="19"/>
      <c r="AN46" s="60"/>
      <c r="AO46" s="60"/>
      <c r="AP46" s="60"/>
      <c r="AQ46" s="60"/>
      <c r="AR46" s="60"/>
      <c r="AS46" s="60"/>
      <c r="AT46" s="60"/>
      <c r="AU46" s="247"/>
    </row>
    <row r="47" spans="1:47" x14ac:dyDescent="0.2">
      <c r="I47" s="18"/>
      <c r="J47" s="19"/>
      <c r="K47" s="19"/>
      <c r="L47" s="19"/>
      <c r="M47" s="19"/>
      <c r="N47" s="19"/>
      <c r="O47" s="18"/>
      <c r="Q47" s="19"/>
      <c r="R47" s="19"/>
      <c r="S47" s="44"/>
      <c r="T47" s="19"/>
      <c r="U47" s="60"/>
      <c r="V47" s="19"/>
      <c r="W47" s="60"/>
      <c r="X47" s="19"/>
      <c r="Y47" s="19"/>
      <c r="Z47" s="19"/>
      <c r="AA47" s="44"/>
      <c r="AB47" s="19"/>
      <c r="AC47" s="60"/>
      <c r="AD47" s="19"/>
      <c r="AE47" s="60"/>
      <c r="AF47" s="60"/>
      <c r="AG47" s="19"/>
      <c r="AH47" s="60"/>
      <c r="AI47" s="60"/>
      <c r="AJ47" s="19"/>
      <c r="AK47" s="60"/>
      <c r="AL47" s="60"/>
      <c r="AM47" s="19"/>
      <c r="AN47" s="60"/>
      <c r="AO47" s="60"/>
      <c r="AP47" s="60"/>
      <c r="AQ47" s="60"/>
      <c r="AR47" s="60"/>
      <c r="AS47" s="60"/>
      <c r="AT47" s="60"/>
      <c r="AU47" s="247"/>
    </row>
    <row r="48" spans="1:47" x14ac:dyDescent="0.2">
      <c r="I48" s="18"/>
      <c r="J48" s="19"/>
      <c r="K48" s="19"/>
      <c r="L48" s="19"/>
      <c r="M48" s="19"/>
      <c r="N48" s="19"/>
      <c r="O48" s="18"/>
      <c r="Q48" s="19"/>
      <c r="R48" s="19"/>
      <c r="S48" s="44"/>
      <c r="T48" s="19"/>
      <c r="U48" s="60"/>
      <c r="V48" s="19"/>
      <c r="W48" s="60"/>
      <c r="X48" s="19"/>
      <c r="Y48" s="19"/>
      <c r="Z48" s="19"/>
      <c r="AA48" s="44"/>
      <c r="AB48" s="19"/>
      <c r="AC48" s="60"/>
      <c r="AD48" s="19"/>
      <c r="AE48" s="60"/>
      <c r="AF48" s="60"/>
      <c r="AG48" s="19"/>
      <c r="AH48" s="60"/>
      <c r="AI48" s="60"/>
      <c r="AJ48" s="19"/>
      <c r="AK48" s="60"/>
      <c r="AL48" s="60"/>
      <c r="AM48" s="19"/>
      <c r="AN48" s="60"/>
      <c r="AO48" s="60"/>
      <c r="AP48" s="60"/>
      <c r="AQ48" s="60"/>
      <c r="AR48" s="60"/>
      <c r="AS48" s="60"/>
      <c r="AT48" s="60"/>
      <c r="AU48" s="247"/>
    </row>
    <row r="49" spans="9:47" x14ac:dyDescent="0.2">
      <c r="I49" s="18"/>
      <c r="J49" s="19"/>
      <c r="K49" s="19"/>
      <c r="L49" s="19"/>
      <c r="M49" s="19"/>
      <c r="N49" s="19"/>
      <c r="O49" s="18"/>
      <c r="Q49" s="19"/>
      <c r="R49" s="19"/>
      <c r="S49" s="44"/>
      <c r="T49" s="19"/>
      <c r="U49" s="60"/>
      <c r="V49" s="19"/>
      <c r="W49" s="60"/>
      <c r="X49" s="19"/>
      <c r="Y49" s="19"/>
      <c r="Z49" s="19"/>
      <c r="AA49" s="44"/>
      <c r="AB49" s="19"/>
      <c r="AC49" s="60"/>
      <c r="AD49" s="19"/>
      <c r="AE49" s="60"/>
      <c r="AF49" s="60"/>
      <c r="AG49" s="19"/>
      <c r="AH49" s="60"/>
      <c r="AI49" s="60"/>
      <c r="AJ49" s="19"/>
      <c r="AK49" s="60"/>
      <c r="AL49" s="60"/>
      <c r="AM49" s="19"/>
      <c r="AN49" s="60"/>
      <c r="AO49" s="60"/>
      <c r="AP49" s="60"/>
      <c r="AQ49" s="60"/>
      <c r="AR49" s="60"/>
      <c r="AS49" s="60"/>
      <c r="AT49" s="60"/>
      <c r="AU49" s="247"/>
    </row>
    <row r="50" spans="9:47" x14ac:dyDescent="0.2">
      <c r="I50" s="18"/>
      <c r="J50" s="19"/>
      <c r="K50" s="19"/>
      <c r="L50" s="19"/>
      <c r="M50" s="19"/>
      <c r="N50" s="19"/>
      <c r="O50" s="18"/>
      <c r="Q50" s="19"/>
      <c r="R50" s="19"/>
      <c r="S50" s="44"/>
      <c r="T50" s="19"/>
      <c r="U50" s="60"/>
      <c r="V50" s="19"/>
      <c r="W50" s="60"/>
      <c r="X50" s="19"/>
      <c r="Y50" s="19"/>
      <c r="Z50" s="19"/>
      <c r="AA50" s="44"/>
      <c r="AB50" s="19"/>
      <c r="AC50" s="60"/>
      <c r="AD50" s="19"/>
      <c r="AE50" s="60"/>
      <c r="AF50" s="60"/>
      <c r="AG50" s="19"/>
      <c r="AH50" s="60"/>
      <c r="AI50" s="60"/>
      <c r="AJ50" s="19"/>
      <c r="AK50" s="60"/>
      <c r="AL50" s="60"/>
      <c r="AM50" s="19"/>
      <c r="AN50" s="60"/>
      <c r="AO50" s="60"/>
      <c r="AP50" s="60"/>
      <c r="AQ50" s="60"/>
      <c r="AR50" s="60"/>
      <c r="AS50" s="60"/>
      <c r="AT50" s="60"/>
      <c r="AU50" s="247"/>
    </row>
    <row r="51" spans="9:47" x14ac:dyDescent="0.2">
      <c r="I51" s="18"/>
      <c r="J51" s="19"/>
      <c r="K51" s="19"/>
      <c r="L51" s="19"/>
      <c r="M51" s="19"/>
      <c r="N51" s="19"/>
      <c r="O51" s="18"/>
      <c r="Q51" s="19"/>
      <c r="R51" s="19"/>
      <c r="S51" s="44"/>
      <c r="T51" s="19"/>
      <c r="U51" s="60"/>
      <c r="V51" s="19"/>
      <c r="W51" s="60"/>
      <c r="X51" s="19"/>
      <c r="Y51" s="19"/>
      <c r="Z51" s="19"/>
      <c r="AA51" s="44"/>
      <c r="AB51" s="19"/>
      <c r="AC51" s="60"/>
      <c r="AD51" s="19"/>
      <c r="AE51" s="60"/>
      <c r="AF51" s="60"/>
      <c r="AG51" s="19"/>
      <c r="AH51" s="60"/>
      <c r="AI51" s="60"/>
      <c r="AJ51" s="19"/>
      <c r="AK51" s="60"/>
      <c r="AL51" s="60"/>
      <c r="AM51" s="19"/>
      <c r="AN51" s="60"/>
      <c r="AO51" s="60"/>
      <c r="AP51" s="60"/>
      <c r="AQ51" s="60"/>
      <c r="AR51" s="60"/>
      <c r="AS51" s="60"/>
      <c r="AT51" s="60"/>
      <c r="AU51" s="247"/>
    </row>
    <row r="52" spans="9:47" x14ac:dyDescent="0.2">
      <c r="I52" s="18"/>
      <c r="J52" s="19"/>
      <c r="K52" s="19"/>
      <c r="L52" s="19"/>
      <c r="M52" s="19"/>
      <c r="N52" s="19"/>
      <c r="O52" s="18"/>
      <c r="Q52" s="19"/>
      <c r="R52" s="19"/>
      <c r="S52" s="44"/>
      <c r="T52" s="19"/>
      <c r="U52" s="60"/>
      <c r="V52" s="19"/>
      <c r="W52" s="60"/>
      <c r="X52" s="19"/>
      <c r="Y52" s="19"/>
      <c r="Z52" s="19"/>
      <c r="AA52" s="44"/>
      <c r="AB52" s="19"/>
      <c r="AC52" s="60"/>
      <c r="AD52" s="19"/>
      <c r="AE52" s="60"/>
      <c r="AF52" s="60"/>
      <c r="AG52" s="19"/>
      <c r="AH52" s="60"/>
      <c r="AI52" s="60"/>
      <c r="AJ52" s="19"/>
      <c r="AK52" s="60"/>
      <c r="AL52" s="60"/>
      <c r="AM52" s="19"/>
      <c r="AN52" s="60"/>
      <c r="AO52" s="60"/>
      <c r="AP52" s="60"/>
      <c r="AQ52" s="60"/>
      <c r="AR52" s="60"/>
      <c r="AS52" s="60"/>
      <c r="AT52" s="60"/>
      <c r="AU52" s="247"/>
    </row>
    <row r="53" spans="9:47" x14ac:dyDescent="0.2">
      <c r="I53" s="18"/>
      <c r="J53" s="19"/>
      <c r="K53" s="19"/>
      <c r="L53" s="19"/>
      <c r="M53" s="19"/>
      <c r="N53" s="19"/>
      <c r="O53" s="18"/>
      <c r="Q53" s="19"/>
      <c r="R53" s="19"/>
      <c r="S53" s="44"/>
      <c r="T53" s="19"/>
      <c r="U53" s="60"/>
      <c r="V53" s="19"/>
      <c r="W53" s="60"/>
      <c r="X53" s="19"/>
      <c r="Y53" s="19"/>
      <c r="Z53" s="19"/>
      <c r="AA53" s="44"/>
      <c r="AB53" s="19"/>
      <c r="AC53" s="60"/>
      <c r="AD53" s="19"/>
      <c r="AE53" s="60"/>
      <c r="AF53" s="60"/>
      <c r="AG53" s="19"/>
      <c r="AH53" s="60"/>
      <c r="AI53" s="60"/>
      <c r="AJ53" s="19"/>
      <c r="AK53" s="60"/>
      <c r="AL53" s="60"/>
      <c r="AM53" s="19"/>
      <c r="AN53" s="60"/>
      <c r="AO53" s="60"/>
      <c r="AP53" s="60"/>
      <c r="AQ53" s="60"/>
      <c r="AR53" s="60"/>
      <c r="AS53" s="60"/>
      <c r="AT53" s="60"/>
      <c r="AU53" s="247"/>
    </row>
    <row r="54" spans="9:47" x14ac:dyDescent="0.2">
      <c r="I54" s="18"/>
      <c r="J54" s="19"/>
      <c r="K54" s="19"/>
      <c r="L54" s="19"/>
      <c r="M54" s="19"/>
      <c r="N54" s="19"/>
      <c r="O54" s="18"/>
      <c r="Q54" s="19"/>
      <c r="R54" s="19"/>
      <c r="S54" s="44"/>
      <c r="T54" s="19"/>
      <c r="U54" s="60"/>
      <c r="V54" s="19"/>
      <c r="W54" s="60"/>
      <c r="X54" s="19"/>
      <c r="Y54" s="19"/>
      <c r="Z54" s="19"/>
      <c r="AA54" s="44"/>
      <c r="AB54" s="19"/>
      <c r="AC54" s="60"/>
      <c r="AD54" s="19"/>
      <c r="AE54" s="60"/>
      <c r="AF54" s="60"/>
      <c r="AG54" s="19"/>
      <c r="AH54" s="60"/>
      <c r="AI54" s="60"/>
      <c r="AJ54" s="19"/>
      <c r="AK54" s="60"/>
      <c r="AL54" s="60"/>
      <c r="AM54" s="19"/>
      <c r="AN54" s="60"/>
      <c r="AO54" s="60"/>
      <c r="AP54" s="60"/>
      <c r="AQ54" s="60"/>
      <c r="AR54" s="60"/>
      <c r="AS54" s="60"/>
      <c r="AT54" s="60"/>
      <c r="AU54" s="247"/>
    </row>
    <row r="55" spans="9:47" x14ac:dyDescent="0.2">
      <c r="I55" s="18"/>
      <c r="J55" s="19"/>
      <c r="K55" s="19"/>
      <c r="L55" s="19"/>
      <c r="M55" s="19"/>
      <c r="N55" s="19"/>
      <c r="O55" s="18"/>
      <c r="Q55" s="19"/>
      <c r="R55" s="19"/>
      <c r="S55" s="44"/>
      <c r="T55" s="19"/>
      <c r="U55" s="60"/>
      <c r="V55" s="19"/>
      <c r="W55" s="60"/>
      <c r="X55" s="19"/>
      <c r="Y55" s="19"/>
      <c r="Z55" s="19"/>
      <c r="AA55" s="44"/>
      <c r="AB55" s="19"/>
      <c r="AC55" s="60"/>
      <c r="AD55" s="19"/>
      <c r="AE55" s="60"/>
      <c r="AF55" s="60"/>
      <c r="AG55" s="19"/>
      <c r="AH55" s="60"/>
      <c r="AI55" s="60"/>
      <c r="AJ55" s="19"/>
      <c r="AK55" s="60"/>
      <c r="AL55" s="60"/>
      <c r="AM55" s="19"/>
      <c r="AN55" s="60"/>
      <c r="AO55" s="60"/>
      <c r="AP55" s="60"/>
      <c r="AQ55" s="60"/>
      <c r="AR55" s="60"/>
      <c r="AS55" s="60"/>
      <c r="AT55" s="60"/>
      <c r="AU55" s="247"/>
    </row>
    <row r="56" spans="9:47" x14ac:dyDescent="0.2">
      <c r="I56" s="18"/>
      <c r="J56" s="19"/>
      <c r="K56" s="19"/>
      <c r="L56" s="19"/>
      <c r="M56" s="19"/>
      <c r="N56" s="19"/>
      <c r="O56" s="18"/>
      <c r="Q56" s="19"/>
      <c r="R56" s="19"/>
      <c r="S56" s="44"/>
      <c r="T56" s="19"/>
      <c r="U56" s="60"/>
      <c r="V56" s="19"/>
      <c r="W56" s="60"/>
      <c r="X56" s="19"/>
      <c r="Y56" s="19"/>
      <c r="Z56" s="19"/>
      <c r="AA56" s="44"/>
      <c r="AB56" s="19"/>
      <c r="AC56" s="60"/>
      <c r="AD56" s="19"/>
      <c r="AE56" s="60"/>
      <c r="AF56" s="60"/>
      <c r="AG56" s="19"/>
      <c r="AH56" s="60"/>
      <c r="AI56" s="60"/>
      <c r="AJ56" s="19"/>
      <c r="AK56" s="60"/>
      <c r="AL56" s="60"/>
      <c r="AM56" s="19"/>
      <c r="AN56" s="60"/>
      <c r="AO56" s="60"/>
      <c r="AP56" s="60"/>
      <c r="AQ56" s="60"/>
      <c r="AR56" s="60"/>
      <c r="AS56" s="60"/>
      <c r="AT56" s="60"/>
      <c r="AU56" s="247"/>
    </row>
    <row r="57" spans="9:47" x14ac:dyDescent="0.2">
      <c r="I57" s="18"/>
      <c r="J57" s="19"/>
      <c r="K57" s="19"/>
      <c r="L57" s="19"/>
      <c r="M57" s="19"/>
      <c r="N57" s="19"/>
      <c r="O57" s="18"/>
      <c r="Q57" s="19"/>
      <c r="R57" s="19"/>
      <c r="S57" s="44"/>
      <c r="T57" s="19"/>
      <c r="U57" s="60"/>
      <c r="V57" s="19"/>
      <c r="W57" s="60"/>
      <c r="X57" s="19"/>
      <c r="Y57" s="19"/>
      <c r="Z57" s="19"/>
      <c r="AA57" s="44"/>
      <c r="AB57" s="19"/>
      <c r="AC57" s="60"/>
      <c r="AD57" s="19"/>
      <c r="AE57" s="60"/>
      <c r="AF57" s="60"/>
      <c r="AG57" s="19"/>
      <c r="AH57" s="60"/>
      <c r="AI57" s="60"/>
      <c r="AJ57" s="19"/>
      <c r="AK57" s="60"/>
      <c r="AL57" s="60"/>
      <c r="AM57" s="19"/>
      <c r="AN57" s="60"/>
      <c r="AO57" s="60"/>
      <c r="AP57" s="60"/>
      <c r="AQ57" s="60"/>
      <c r="AR57" s="60"/>
      <c r="AS57" s="60"/>
      <c r="AT57" s="60"/>
      <c r="AU57" s="247"/>
    </row>
    <row r="58" spans="9:47" x14ac:dyDescent="0.2">
      <c r="I58" s="18"/>
      <c r="J58" s="19"/>
      <c r="K58" s="19"/>
      <c r="L58" s="19"/>
      <c r="M58" s="19"/>
      <c r="N58" s="19"/>
      <c r="O58" s="18"/>
      <c r="Q58" s="19"/>
      <c r="R58" s="19"/>
      <c r="S58" s="44"/>
      <c r="T58" s="19"/>
      <c r="U58" s="60"/>
      <c r="V58" s="19"/>
      <c r="W58" s="60"/>
      <c r="X58" s="19"/>
      <c r="Y58" s="19"/>
      <c r="Z58" s="19"/>
      <c r="AA58" s="44"/>
      <c r="AB58" s="19"/>
      <c r="AC58" s="60"/>
      <c r="AD58" s="19"/>
      <c r="AE58" s="60"/>
      <c r="AF58" s="60"/>
      <c r="AG58" s="19"/>
      <c r="AH58" s="60"/>
      <c r="AI58" s="60"/>
      <c r="AJ58" s="19"/>
      <c r="AK58" s="60"/>
      <c r="AL58" s="60"/>
      <c r="AM58" s="19"/>
      <c r="AN58" s="60"/>
      <c r="AO58" s="60"/>
      <c r="AP58" s="60"/>
      <c r="AQ58" s="60"/>
      <c r="AR58" s="60"/>
      <c r="AS58" s="60"/>
      <c r="AT58" s="60"/>
      <c r="AU58" s="247"/>
    </row>
    <row r="59" spans="9:47" x14ac:dyDescent="0.2">
      <c r="I59" s="18"/>
      <c r="J59" s="19"/>
      <c r="K59" s="19"/>
      <c r="L59" s="19"/>
      <c r="M59" s="19"/>
      <c r="N59" s="19"/>
      <c r="O59" s="18"/>
      <c r="Q59" s="19"/>
      <c r="R59" s="19"/>
      <c r="S59" s="44"/>
      <c r="T59" s="19"/>
      <c r="U59" s="60"/>
      <c r="V59" s="19"/>
      <c r="W59" s="60"/>
      <c r="X59" s="19"/>
      <c r="Y59" s="19"/>
      <c r="Z59" s="19"/>
      <c r="AA59" s="44"/>
      <c r="AB59" s="19"/>
      <c r="AC59" s="60"/>
      <c r="AD59" s="19"/>
      <c r="AE59" s="60"/>
      <c r="AF59" s="60"/>
      <c r="AG59" s="19"/>
      <c r="AH59" s="60"/>
      <c r="AI59" s="60"/>
      <c r="AJ59" s="19"/>
      <c r="AK59" s="60"/>
      <c r="AL59" s="60"/>
      <c r="AM59" s="19"/>
      <c r="AN59" s="60"/>
      <c r="AO59" s="60"/>
      <c r="AP59" s="60"/>
      <c r="AQ59" s="60"/>
      <c r="AR59" s="60"/>
      <c r="AS59" s="60"/>
      <c r="AT59" s="60"/>
      <c r="AU59" s="247"/>
    </row>
    <row r="60" spans="9:47" x14ac:dyDescent="0.2">
      <c r="I60" s="18"/>
      <c r="J60" s="19"/>
      <c r="K60" s="19"/>
      <c r="L60" s="19"/>
      <c r="M60" s="19"/>
      <c r="N60" s="19"/>
      <c r="O60" s="18"/>
      <c r="Q60" s="19"/>
      <c r="R60" s="19"/>
      <c r="S60" s="44"/>
      <c r="T60" s="19"/>
      <c r="U60" s="60"/>
      <c r="V60" s="19"/>
      <c r="W60" s="60"/>
      <c r="X60" s="19"/>
      <c r="Y60" s="19"/>
      <c r="Z60" s="19"/>
      <c r="AA60" s="44"/>
      <c r="AB60" s="19"/>
      <c r="AC60" s="60"/>
      <c r="AD60" s="19"/>
      <c r="AE60" s="60"/>
      <c r="AF60" s="60"/>
      <c r="AG60" s="19"/>
      <c r="AH60" s="60"/>
      <c r="AI60" s="60"/>
      <c r="AJ60" s="19"/>
      <c r="AK60" s="60"/>
      <c r="AL60" s="60"/>
      <c r="AM60" s="19"/>
      <c r="AN60" s="60"/>
      <c r="AO60" s="60"/>
      <c r="AP60" s="60"/>
      <c r="AQ60" s="60"/>
      <c r="AR60" s="60"/>
      <c r="AS60" s="60"/>
      <c r="AT60" s="60"/>
      <c r="AU60" s="247"/>
    </row>
    <row r="61" spans="9:47" x14ac:dyDescent="0.2">
      <c r="I61" s="18"/>
      <c r="J61" s="19"/>
      <c r="K61" s="19"/>
      <c r="L61" s="19"/>
      <c r="M61" s="19"/>
      <c r="N61" s="19"/>
      <c r="O61" s="18"/>
      <c r="Q61" s="19"/>
      <c r="R61" s="19"/>
      <c r="S61" s="44"/>
      <c r="T61" s="19"/>
      <c r="U61" s="60"/>
      <c r="V61" s="19"/>
      <c r="W61" s="60"/>
      <c r="X61" s="19"/>
      <c r="Y61" s="19"/>
      <c r="Z61" s="19"/>
      <c r="AA61" s="44"/>
      <c r="AB61" s="19"/>
      <c r="AC61" s="60"/>
      <c r="AD61" s="19"/>
      <c r="AE61" s="60"/>
      <c r="AF61" s="60"/>
      <c r="AG61" s="19"/>
      <c r="AH61" s="60"/>
      <c r="AI61" s="60"/>
      <c r="AJ61" s="19"/>
      <c r="AK61" s="60"/>
      <c r="AL61" s="60"/>
      <c r="AM61" s="19"/>
      <c r="AN61" s="60"/>
      <c r="AO61" s="60"/>
      <c r="AP61" s="60"/>
      <c r="AQ61" s="60"/>
      <c r="AR61" s="60"/>
      <c r="AS61" s="60"/>
      <c r="AT61" s="60"/>
      <c r="AU61" s="247"/>
    </row>
    <row r="62" spans="9:47" x14ac:dyDescent="0.2">
      <c r="I62" s="18"/>
      <c r="J62" s="19"/>
      <c r="K62" s="19"/>
      <c r="L62" s="19"/>
      <c r="M62" s="19"/>
      <c r="N62" s="19"/>
      <c r="O62" s="18"/>
      <c r="Q62" s="19"/>
      <c r="R62" s="19"/>
      <c r="S62" s="44"/>
      <c r="T62" s="19"/>
      <c r="U62" s="60"/>
      <c r="V62" s="19"/>
      <c r="W62" s="60"/>
      <c r="X62" s="19"/>
      <c r="Y62" s="19"/>
      <c r="Z62" s="19"/>
      <c r="AA62" s="44"/>
      <c r="AB62" s="19"/>
      <c r="AC62" s="60"/>
      <c r="AD62" s="19"/>
      <c r="AE62" s="60"/>
      <c r="AF62" s="60"/>
      <c r="AG62" s="19"/>
      <c r="AH62" s="60"/>
      <c r="AI62" s="60"/>
      <c r="AJ62" s="19"/>
      <c r="AK62" s="60"/>
      <c r="AL62" s="60"/>
      <c r="AM62" s="19"/>
      <c r="AN62" s="60"/>
      <c r="AO62" s="60"/>
      <c r="AP62" s="60"/>
      <c r="AQ62" s="60"/>
      <c r="AR62" s="60"/>
      <c r="AS62" s="60"/>
      <c r="AT62" s="60"/>
      <c r="AU62" s="247"/>
    </row>
    <row r="63" spans="9:47" x14ac:dyDescent="0.2">
      <c r="I63" s="18"/>
      <c r="J63" s="19"/>
      <c r="K63" s="19"/>
      <c r="L63" s="19"/>
      <c r="M63" s="19"/>
      <c r="N63" s="19"/>
      <c r="O63" s="18"/>
      <c r="Q63" s="19"/>
      <c r="R63" s="19"/>
      <c r="S63" s="44"/>
      <c r="T63" s="19"/>
      <c r="U63" s="60"/>
      <c r="V63" s="19"/>
      <c r="W63" s="60"/>
      <c r="X63" s="19"/>
      <c r="Y63" s="19"/>
      <c r="Z63" s="19"/>
      <c r="AA63" s="44"/>
      <c r="AB63" s="19"/>
      <c r="AC63" s="60"/>
      <c r="AD63" s="19"/>
      <c r="AE63" s="60"/>
      <c r="AF63" s="60"/>
      <c r="AG63" s="19"/>
      <c r="AH63" s="60"/>
      <c r="AI63" s="60"/>
      <c r="AJ63" s="19"/>
      <c r="AK63" s="60"/>
      <c r="AL63" s="60"/>
      <c r="AM63" s="19"/>
      <c r="AN63" s="60"/>
      <c r="AO63" s="60"/>
      <c r="AP63" s="60"/>
      <c r="AQ63" s="60"/>
      <c r="AR63" s="60"/>
      <c r="AS63" s="60"/>
      <c r="AT63" s="60"/>
      <c r="AU63" s="247"/>
    </row>
    <row r="64" spans="9:47" x14ac:dyDescent="0.2">
      <c r="I64" s="18"/>
      <c r="J64" s="19"/>
      <c r="K64" s="19"/>
      <c r="L64" s="19"/>
      <c r="M64" s="19"/>
      <c r="N64" s="19"/>
      <c r="O64" s="18"/>
      <c r="Q64" s="19"/>
      <c r="R64" s="19"/>
      <c r="S64" s="44"/>
      <c r="T64" s="19"/>
      <c r="U64" s="60"/>
      <c r="V64" s="19"/>
      <c r="W64" s="60"/>
      <c r="X64" s="19"/>
      <c r="Y64" s="19"/>
      <c r="Z64" s="19"/>
      <c r="AA64" s="44"/>
      <c r="AB64" s="19"/>
      <c r="AC64" s="60"/>
      <c r="AD64" s="19"/>
      <c r="AE64" s="60"/>
      <c r="AF64" s="60"/>
      <c r="AG64" s="19"/>
      <c r="AH64" s="60"/>
      <c r="AI64" s="60"/>
      <c r="AJ64" s="19"/>
      <c r="AK64" s="60"/>
      <c r="AL64" s="60"/>
      <c r="AM64" s="19"/>
      <c r="AN64" s="60"/>
      <c r="AO64" s="60"/>
      <c r="AP64" s="60"/>
      <c r="AQ64" s="60"/>
      <c r="AR64" s="60"/>
      <c r="AS64" s="60"/>
      <c r="AT64" s="60"/>
      <c r="AU64" s="247"/>
    </row>
    <row r="65" spans="9:47" x14ac:dyDescent="0.2">
      <c r="I65" s="18"/>
      <c r="J65" s="19"/>
      <c r="K65" s="19"/>
      <c r="L65" s="19"/>
      <c r="M65" s="19"/>
      <c r="N65" s="19"/>
      <c r="O65" s="18"/>
      <c r="Q65" s="19"/>
      <c r="R65" s="19"/>
      <c r="S65" s="44"/>
      <c r="T65" s="19"/>
      <c r="U65" s="60"/>
      <c r="V65" s="19"/>
      <c r="W65" s="60"/>
      <c r="X65" s="19"/>
      <c r="Y65" s="19"/>
      <c r="Z65" s="19"/>
      <c r="AA65" s="44"/>
      <c r="AB65" s="19"/>
      <c r="AC65" s="60"/>
      <c r="AD65" s="19"/>
      <c r="AE65" s="60"/>
      <c r="AF65" s="60"/>
      <c r="AG65" s="19"/>
      <c r="AH65" s="60"/>
      <c r="AI65" s="60"/>
      <c r="AJ65" s="19"/>
      <c r="AK65" s="60"/>
      <c r="AL65" s="60"/>
      <c r="AM65" s="19"/>
      <c r="AN65" s="60"/>
      <c r="AO65" s="60"/>
      <c r="AP65" s="60"/>
      <c r="AQ65" s="60"/>
      <c r="AR65" s="60"/>
      <c r="AS65" s="60"/>
      <c r="AT65" s="60"/>
      <c r="AU65" s="247"/>
    </row>
    <row r="66" spans="9:47" x14ac:dyDescent="0.2">
      <c r="I66" s="18"/>
      <c r="J66" s="19"/>
      <c r="K66" s="19"/>
      <c r="L66" s="19"/>
      <c r="M66" s="19"/>
      <c r="N66" s="19"/>
      <c r="O66" s="18"/>
      <c r="Q66" s="19"/>
      <c r="R66" s="19"/>
      <c r="S66" s="44"/>
      <c r="T66" s="19"/>
      <c r="U66" s="60"/>
      <c r="V66" s="19"/>
      <c r="W66" s="60"/>
      <c r="X66" s="19"/>
      <c r="Y66" s="19"/>
      <c r="Z66" s="19"/>
      <c r="AA66" s="44"/>
      <c r="AB66" s="19"/>
      <c r="AC66" s="60"/>
      <c r="AD66" s="19"/>
      <c r="AE66" s="60"/>
      <c r="AF66" s="60"/>
      <c r="AG66" s="19"/>
      <c r="AH66" s="60"/>
      <c r="AI66" s="60"/>
      <c r="AJ66" s="19"/>
      <c r="AK66" s="60"/>
      <c r="AL66" s="60"/>
      <c r="AM66" s="19"/>
      <c r="AN66" s="60"/>
      <c r="AO66" s="60"/>
      <c r="AP66" s="60"/>
      <c r="AQ66" s="60"/>
      <c r="AR66" s="60"/>
      <c r="AS66" s="60"/>
      <c r="AT66" s="60"/>
      <c r="AU66" s="247"/>
    </row>
    <row r="67" spans="9:47" x14ac:dyDescent="0.2">
      <c r="I67" s="18"/>
      <c r="J67" s="19"/>
      <c r="K67" s="19"/>
      <c r="L67" s="19"/>
      <c r="M67" s="19"/>
      <c r="N67" s="19"/>
      <c r="O67" s="18"/>
      <c r="Q67" s="19"/>
      <c r="R67" s="19"/>
      <c r="S67" s="44"/>
      <c r="T67" s="19"/>
      <c r="U67" s="60"/>
      <c r="V67" s="19"/>
      <c r="W67" s="60"/>
      <c r="X67" s="19"/>
      <c r="Y67" s="19"/>
      <c r="Z67" s="19"/>
      <c r="AA67" s="44"/>
      <c r="AB67" s="19"/>
      <c r="AC67" s="60"/>
      <c r="AD67" s="19"/>
      <c r="AE67" s="60"/>
      <c r="AF67" s="60"/>
      <c r="AG67" s="19"/>
      <c r="AH67" s="60"/>
      <c r="AI67" s="60"/>
      <c r="AJ67" s="19"/>
      <c r="AK67" s="60"/>
      <c r="AL67" s="60"/>
      <c r="AM67" s="19"/>
      <c r="AN67" s="60"/>
      <c r="AO67" s="60"/>
      <c r="AP67" s="60"/>
      <c r="AQ67" s="60"/>
      <c r="AR67" s="60"/>
      <c r="AS67" s="60"/>
      <c r="AT67" s="60"/>
      <c r="AU67" s="247"/>
    </row>
    <row r="68" spans="9:47" x14ac:dyDescent="0.2">
      <c r="I68" s="18"/>
      <c r="J68" s="19"/>
      <c r="K68" s="19"/>
      <c r="L68" s="19"/>
      <c r="M68" s="19"/>
      <c r="N68" s="19"/>
      <c r="O68" s="18"/>
      <c r="Q68" s="19"/>
      <c r="R68" s="19"/>
      <c r="S68" s="44"/>
      <c r="T68" s="19"/>
      <c r="U68" s="60"/>
      <c r="V68" s="19"/>
      <c r="W68" s="60"/>
      <c r="X68" s="19"/>
      <c r="Y68" s="19"/>
      <c r="Z68" s="19"/>
      <c r="AA68" s="44"/>
      <c r="AB68" s="19"/>
      <c r="AC68" s="60"/>
      <c r="AD68" s="19"/>
      <c r="AE68" s="60"/>
      <c r="AF68" s="60"/>
      <c r="AG68" s="19"/>
      <c r="AH68" s="60"/>
      <c r="AI68" s="60"/>
      <c r="AJ68" s="19"/>
      <c r="AK68" s="60"/>
      <c r="AL68" s="60"/>
      <c r="AM68" s="19"/>
      <c r="AN68" s="60"/>
      <c r="AO68" s="60"/>
      <c r="AP68" s="60"/>
      <c r="AQ68" s="60"/>
      <c r="AR68" s="60"/>
      <c r="AS68" s="60"/>
      <c r="AT68" s="60"/>
      <c r="AU68" s="247"/>
    </row>
    <row r="69" spans="9:47" x14ac:dyDescent="0.2">
      <c r="I69" s="18"/>
      <c r="J69" s="19"/>
      <c r="K69" s="19"/>
      <c r="L69" s="19"/>
      <c r="M69" s="19"/>
      <c r="N69" s="19"/>
      <c r="O69" s="18"/>
      <c r="Q69" s="19"/>
      <c r="R69" s="19"/>
      <c r="S69" s="44"/>
      <c r="T69" s="19"/>
      <c r="U69" s="60"/>
      <c r="V69" s="19"/>
      <c r="W69" s="60"/>
      <c r="X69" s="19"/>
      <c r="Y69" s="19"/>
      <c r="Z69" s="19"/>
      <c r="AA69" s="44"/>
      <c r="AB69" s="19"/>
      <c r="AC69" s="60"/>
      <c r="AD69" s="19"/>
      <c r="AE69" s="60"/>
      <c r="AF69" s="60"/>
      <c r="AG69" s="19"/>
      <c r="AH69" s="60"/>
      <c r="AI69" s="60"/>
      <c r="AJ69" s="19"/>
      <c r="AK69" s="60"/>
      <c r="AL69" s="60"/>
      <c r="AM69" s="19"/>
      <c r="AN69" s="60"/>
      <c r="AO69" s="60"/>
      <c r="AP69" s="60"/>
      <c r="AQ69" s="60"/>
      <c r="AR69" s="60"/>
      <c r="AS69" s="60"/>
      <c r="AT69" s="60"/>
      <c r="AU69" s="247"/>
    </row>
    <row r="70" spans="9:47" x14ac:dyDescent="0.2">
      <c r="I70" s="18"/>
      <c r="J70" s="19"/>
      <c r="K70" s="19"/>
      <c r="L70" s="19"/>
      <c r="M70" s="19"/>
      <c r="N70" s="19"/>
      <c r="O70" s="18"/>
      <c r="Q70" s="19"/>
      <c r="R70" s="19"/>
      <c r="S70" s="44"/>
      <c r="T70" s="19"/>
      <c r="U70" s="60"/>
      <c r="V70" s="19"/>
      <c r="W70" s="60"/>
      <c r="X70" s="19"/>
      <c r="Y70" s="19"/>
      <c r="Z70" s="19"/>
      <c r="AA70" s="44"/>
      <c r="AB70" s="19"/>
      <c r="AC70" s="60"/>
      <c r="AD70" s="19"/>
      <c r="AE70" s="60"/>
      <c r="AF70" s="60"/>
      <c r="AG70" s="19"/>
      <c r="AH70" s="60"/>
      <c r="AI70" s="60"/>
      <c r="AJ70" s="19"/>
      <c r="AK70" s="60"/>
      <c r="AL70" s="60"/>
      <c r="AM70" s="19"/>
      <c r="AN70" s="60"/>
      <c r="AO70" s="60"/>
      <c r="AP70" s="60"/>
      <c r="AQ70" s="60"/>
      <c r="AR70" s="60"/>
      <c r="AS70" s="60"/>
      <c r="AT70" s="60"/>
      <c r="AU70" s="247"/>
    </row>
    <row r="71" spans="9:47" x14ac:dyDescent="0.2">
      <c r="I71" s="18"/>
      <c r="J71" s="19"/>
      <c r="K71" s="19"/>
      <c r="L71" s="19"/>
      <c r="M71" s="19"/>
      <c r="N71" s="19"/>
      <c r="O71" s="18"/>
      <c r="Q71" s="19"/>
      <c r="R71" s="19"/>
      <c r="S71" s="44"/>
      <c r="T71" s="19"/>
      <c r="U71" s="60"/>
      <c r="V71" s="19"/>
      <c r="W71" s="60"/>
      <c r="X71" s="19"/>
      <c r="Y71" s="19"/>
      <c r="Z71" s="19"/>
      <c r="AA71" s="44"/>
      <c r="AB71" s="19"/>
      <c r="AC71" s="60"/>
      <c r="AD71" s="19"/>
      <c r="AE71" s="60"/>
      <c r="AF71" s="60"/>
      <c r="AG71" s="19"/>
      <c r="AH71" s="60"/>
      <c r="AI71" s="60"/>
      <c r="AJ71" s="19"/>
      <c r="AK71" s="60"/>
      <c r="AL71" s="60"/>
      <c r="AM71" s="19"/>
      <c r="AN71" s="60"/>
      <c r="AO71" s="60"/>
      <c r="AP71" s="60"/>
      <c r="AQ71" s="60"/>
      <c r="AR71" s="60"/>
      <c r="AS71" s="60"/>
      <c r="AT71" s="60"/>
      <c r="AU71" s="247"/>
    </row>
    <row r="72" spans="9:47" x14ac:dyDescent="0.2">
      <c r="I72" s="18"/>
      <c r="J72" s="19"/>
      <c r="K72" s="19"/>
      <c r="L72" s="19"/>
      <c r="M72" s="19"/>
      <c r="N72" s="19"/>
      <c r="O72" s="18"/>
      <c r="Q72" s="19"/>
      <c r="R72" s="19"/>
      <c r="S72" s="44"/>
      <c r="T72" s="19"/>
      <c r="U72" s="60"/>
      <c r="V72" s="19"/>
      <c r="W72" s="60"/>
      <c r="X72" s="19"/>
      <c r="Y72" s="19"/>
      <c r="Z72" s="19"/>
      <c r="AA72" s="44"/>
      <c r="AB72" s="19"/>
      <c r="AC72" s="60"/>
      <c r="AD72" s="19"/>
      <c r="AE72" s="60"/>
      <c r="AF72" s="60"/>
      <c r="AG72" s="19"/>
      <c r="AH72" s="60"/>
      <c r="AI72" s="60"/>
      <c r="AJ72" s="19"/>
      <c r="AK72" s="60"/>
      <c r="AL72" s="60"/>
      <c r="AM72" s="19"/>
      <c r="AN72" s="60"/>
      <c r="AO72" s="60"/>
      <c r="AP72" s="60"/>
      <c r="AQ72" s="60"/>
      <c r="AR72" s="60"/>
      <c r="AS72" s="60"/>
      <c r="AT72" s="60"/>
      <c r="AU72" s="247"/>
    </row>
    <row r="73" spans="9:47" x14ac:dyDescent="0.2">
      <c r="I73" s="18"/>
      <c r="J73" s="19"/>
      <c r="K73" s="19"/>
      <c r="L73" s="19"/>
      <c r="M73" s="19"/>
      <c r="N73" s="19"/>
      <c r="O73" s="18"/>
      <c r="Q73" s="19"/>
      <c r="R73" s="19"/>
      <c r="S73" s="44"/>
      <c r="T73" s="19"/>
      <c r="U73" s="60"/>
      <c r="V73" s="19"/>
      <c r="W73" s="60"/>
      <c r="X73" s="19"/>
      <c r="Y73" s="19"/>
      <c r="Z73" s="19"/>
      <c r="AA73" s="44"/>
      <c r="AB73" s="19"/>
      <c r="AC73" s="60"/>
      <c r="AD73" s="19"/>
      <c r="AE73" s="60"/>
      <c r="AF73" s="60"/>
      <c r="AG73" s="19"/>
      <c r="AH73" s="60"/>
      <c r="AI73" s="60"/>
      <c r="AJ73" s="19"/>
      <c r="AK73" s="60"/>
      <c r="AL73" s="60"/>
      <c r="AM73" s="19"/>
      <c r="AN73" s="60"/>
      <c r="AO73" s="60"/>
      <c r="AP73" s="60"/>
      <c r="AQ73" s="60"/>
      <c r="AR73" s="60"/>
      <c r="AS73" s="60"/>
      <c r="AT73" s="60"/>
      <c r="AU73" s="247"/>
    </row>
    <row r="74" spans="9:47" x14ac:dyDescent="0.2">
      <c r="I74" s="18"/>
      <c r="J74" s="19"/>
      <c r="K74" s="19"/>
      <c r="L74" s="19"/>
      <c r="M74" s="19"/>
      <c r="N74" s="19"/>
      <c r="O74" s="18"/>
      <c r="Q74" s="19"/>
      <c r="R74" s="19"/>
      <c r="S74" s="44"/>
      <c r="T74" s="19"/>
      <c r="U74" s="60"/>
      <c r="V74" s="19"/>
      <c r="W74" s="60"/>
      <c r="X74" s="19"/>
      <c r="Y74" s="19"/>
      <c r="Z74" s="19"/>
      <c r="AA74" s="44"/>
      <c r="AB74" s="19"/>
      <c r="AC74" s="60"/>
      <c r="AD74" s="19"/>
      <c r="AE74" s="60"/>
      <c r="AF74" s="60"/>
      <c r="AG74" s="19"/>
      <c r="AH74" s="60"/>
      <c r="AI74" s="60"/>
      <c r="AJ74" s="19"/>
      <c r="AK74" s="60"/>
      <c r="AL74" s="60"/>
      <c r="AM74" s="19"/>
      <c r="AN74" s="60"/>
      <c r="AO74" s="60"/>
      <c r="AP74" s="60"/>
      <c r="AQ74" s="60"/>
      <c r="AR74" s="60"/>
      <c r="AS74" s="60"/>
      <c r="AT74" s="60"/>
      <c r="AU74" s="247"/>
    </row>
    <row r="75" spans="9:47" x14ac:dyDescent="0.2">
      <c r="I75" s="18"/>
      <c r="J75" s="19"/>
      <c r="K75" s="19"/>
      <c r="L75" s="19"/>
      <c r="M75" s="19"/>
      <c r="N75" s="19"/>
      <c r="O75" s="18"/>
      <c r="Q75" s="19"/>
      <c r="R75" s="19"/>
      <c r="S75" s="44"/>
      <c r="T75" s="19"/>
      <c r="U75" s="60"/>
      <c r="V75" s="19"/>
      <c r="W75" s="60"/>
      <c r="X75" s="19"/>
      <c r="Y75" s="19"/>
      <c r="Z75" s="19"/>
      <c r="AA75" s="44"/>
      <c r="AB75" s="19"/>
      <c r="AC75" s="60"/>
      <c r="AD75" s="19"/>
      <c r="AE75" s="60"/>
      <c r="AF75" s="60"/>
      <c r="AG75" s="19"/>
      <c r="AH75" s="60"/>
      <c r="AI75" s="60"/>
      <c r="AJ75" s="19"/>
      <c r="AK75" s="60"/>
      <c r="AL75" s="60"/>
      <c r="AM75" s="19"/>
      <c r="AN75" s="60"/>
      <c r="AO75" s="60"/>
      <c r="AP75" s="60"/>
      <c r="AQ75" s="60"/>
      <c r="AR75" s="60"/>
      <c r="AS75" s="60"/>
      <c r="AT75" s="60"/>
    </row>
    <row r="76" spans="9:47" x14ac:dyDescent="0.2">
      <c r="I76" s="18"/>
      <c r="J76" s="19"/>
      <c r="K76" s="19"/>
      <c r="L76" s="19"/>
      <c r="M76" s="19"/>
      <c r="N76" s="19"/>
      <c r="O76" s="18"/>
      <c r="Q76" s="19"/>
      <c r="R76" s="19"/>
      <c r="S76" s="44"/>
      <c r="T76" s="19"/>
      <c r="U76" s="60"/>
      <c r="V76" s="19"/>
      <c r="W76" s="60"/>
      <c r="X76" s="19"/>
      <c r="Y76" s="19"/>
      <c r="Z76" s="19"/>
      <c r="AA76" s="44"/>
      <c r="AB76" s="19"/>
      <c r="AC76" s="60"/>
      <c r="AD76" s="19"/>
      <c r="AE76" s="60"/>
      <c r="AF76" s="60"/>
      <c r="AG76" s="19"/>
      <c r="AH76" s="60"/>
      <c r="AI76" s="60"/>
      <c r="AJ76" s="19"/>
      <c r="AK76" s="60"/>
      <c r="AL76" s="60"/>
      <c r="AM76" s="19"/>
      <c r="AN76" s="60"/>
      <c r="AO76" s="60"/>
      <c r="AP76" s="60"/>
      <c r="AQ76" s="60"/>
      <c r="AR76" s="60"/>
      <c r="AS76" s="60"/>
      <c r="AT76" s="60"/>
    </row>
    <row r="77" spans="9:47" x14ac:dyDescent="0.2">
      <c r="I77" s="18"/>
      <c r="J77" s="19"/>
      <c r="K77" s="19"/>
      <c r="L77" s="19"/>
      <c r="M77" s="19"/>
      <c r="N77" s="19"/>
      <c r="O77" s="18"/>
      <c r="Q77" s="19"/>
      <c r="R77" s="19"/>
      <c r="S77" s="44"/>
      <c r="T77" s="19"/>
      <c r="U77" s="60"/>
      <c r="V77" s="19"/>
      <c r="W77" s="60"/>
      <c r="X77" s="19"/>
      <c r="Y77" s="19"/>
      <c r="Z77" s="19"/>
      <c r="AA77" s="44"/>
      <c r="AB77" s="19"/>
      <c r="AC77" s="60"/>
      <c r="AD77" s="19"/>
      <c r="AE77" s="60"/>
      <c r="AF77" s="60"/>
      <c r="AG77" s="19"/>
      <c r="AH77" s="60"/>
      <c r="AI77" s="60"/>
      <c r="AJ77" s="19"/>
      <c r="AK77" s="60"/>
      <c r="AL77" s="60"/>
      <c r="AM77" s="19"/>
      <c r="AN77" s="60"/>
      <c r="AO77" s="60"/>
      <c r="AP77" s="60"/>
      <c r="AQ77" s="60"/>
      <c r="AR77" s="60"/>
      <c r="AS77" s="60"/>
      <c r="AT77" s="60"/>
    </row>
    <row r="78" spans="9:47" x14ac:dyDescent="0.2">
      <c r="I78" s="18"/>
      <c r="J78" s="19"/>
      <c r="K78" s="19"/>
      <c r="L78" s="19"/>
      <c r="M78" s="19"/>
      <c r="N78" s="19"/>
      <c r="O78" s="18"/>
      <c r="Q78" s="19"/>
      <c r="R78" s="19"/>
      <c r="S78" s="44"/>
      <c r="T78" s="19"/>
      <c r="U78" s="60"/>
      <c r="V78" s="19"/>
      <c r="W78" s="60"/>
      <c r="X78" s="19"/>
      <c r="Y78" s="19"/>
      <c r="Z78" s="19"/>
      <c r="AA78" s="44"/>
      <c r="AB78" s="19"/>
      <c r="AC78" s="60"/>
      <c r="AD78" s="19"/>
      <c r="AE78" s="60"/>
      <c r="AF78" s="60"/>
      <c r="AG78" s="19"/>
      <c r="AH78" s="60"/>
      <c r="AI78" s="60"/>
      <c r="AJ78" s="19"/>
      <c r="AK78" s="60"/>
      <c r="AL78" s="60"/>
      <c r="AM78" s="19"/>
      <c r="AN78" s="60"/>
      <c r="AO78" s="60"/>
      <c r="AP78" s="60"/>
      <c r="AQ78" s="60"/>
      <c r="AR78" s="60"/>
      <c r="AS78" s="60"/>
      <c r="AT78" s="60"/>
    </row>
    <row r="79" spans="9:47" x14ac:dyDescent="0.2">
      <c r="I79" s="18"/>
      <c r="J79" s="19"/>
      <c r="K79" s="19"/>
      <c r="L79" s="19"/>
      <c r="M79" s="19"/>
      <c r="N79" s="19"/>
      <c r="O79" s="18"/>
      <c r="Q79" s="19"/>
      <c r="R79" s="19"/>
      <c r="S79" s="44"/>
      <c r="T79" s="19"/>
      <c r="U79" s="60"/>
      <c r="V79" s="19"/>
      <c r="W79" s="60"/>
      <c r="X79" s="19"/>
      <c r="Y79" s="19"/>
      <c r="Z79" s="19"/>
      <c r="AA79" s="44"/>
      <c r="AB79" s="19"/>
      <c r="AC79" s="60"/>
      <c r="AD79" s="19"/>
      <c r="AE79" s="60"/>
      <c r="AF79" s="60"/>
      <c r="AG79" s="19"/>
      <c r="AH79" s="60"/>
      <c r="AI79" s="60"/>
      <c r="AJ79" s="19"/>
      <c r="AK79" s="60"/>
      <c r="AL79" s="60"/>
      <c r="AM79" s="19"/>
      <c r="AN79" s="60"/>
      <c r="AO79" s="60"/>
      <c r="AP79" s="60"/>
      <c r="AQ79" s="60"/>
      <c r="AR79" s="60"/>
      <c r="AS79" s="60"/>
      <c r="AT79" s="60"/>
    </row>
    <row r="80" spans="9:47" x14ac:dyDescent="0.2">
      <c r="I80" s="18"/>
      <c r="J80" s="19"/>
      <c r="K80" s="19"/>
      <c r="L80" s="19"/>
      <c r="M80" s="19"/>
      <c r="N80" s="19"/>
      <c r="O80" s="18"/>
      <c r="Q80" s="19"/>
      <c r="R80" s="19"/>
      <c r="S80" s="44"/>
      <c r="T80" s="19"/>
      <c r="U80" s="60"/>
      <c r="V80" s="19"/>
      <c r="W80" s="60"/>
      <c r="X80" s="19"/>
      <c r="Y80" s="19"/>
      <c r="Z80" s="19"/>
      <c r="AA80" s="44"/>
      <c r="AB80" s="19"/>
      <c r="AC80" s="60"/>
      <c r="AD80" s="19"/>
      <c r="AE80" s="60"/>
      <c r="AF80" s="60"/>
      <c r="AG80" s="19"/>
      <c r="AH80" s="60"/>
      <c r="AI80" s="60"/>
      <c r="AJ80" s="19"/>
      <c r="AK80" s="60"/>
      <c r="AL80" s="60"/>
      <c r="AM80" s="19"/>
      <c r="AN80" s="60"/>
      <c r="AO80" s="60"/>
      <c r="AP80" s="60"/>
      <c r="AQ80" s="60"/>
      <c r="AR80" s="60"/>
      <c r="AS80" s="60"/>
      <c r="AT80" s="60"/>
    </row>
    <row r="81" spans="9:46" x14ac:dyDescent="0.2">
      <c r="I81" s="18"/>
      <c r="J81" s="19"/>
      <c r="K81" s="19"/>
      <c r="L81" s="19"/>
      <c r="M81" s="19"/>
      <c r="N81" s="19"/>
      <c r="O81" s="18"/>
      <c r="Q81" s="19"/>
      <c r="R81" s="19"/>
      <c r="S81" s="44"/>
      <c r="T81" s="19"/>
      <c r="U81" s="60"/>
      <c r="V81" s="19"/>
      <c r="W81" s="60"/>
      <c r="X81" s="19"/>
      <c r="Y81" s="19"/>
      <c r="Z81" s="19"/>
      <c r="AA81" s="44"/>
      <c r="AB81" s="19"/>
      <c r="AC81" s="60"/>
      <c r="AD81" s="19"/>
      <c r="AE81" s="60"/>
      <c r="AF81" s="60"/>
      <c r="AG81" s="19"/>
      <c r="AH81" s="60"/>
      <c r="AI81" s="60"/>
      <c r="AJ81" s="19"/>
      <c r="AK81" s="60"/>
      <c r="AL81" s="60"/>
      <c r="AM81" s="19"/>
      <c r="AN81" s="60"/>
      <c r="AO81" s="60"/>
      <c r="AP81" s="60"/>
      <c r="AQ81" s="60"/>
      <c r="AR81" s="60"/>
      <c r="AS81" s="60"/>
      <c r="AT81" s="60"/>
    </row>
    <row r="82" spans="9:46" x14ac:dyDescent="0.2">
      <c r="I82" s="18"/>
      <c r="J82" s="19"/>
      <c r="K82" s="19"/>
      <c r="L82" s="19"/>
      <c r="M82" s="19"/>
      <c r="N82" s="19"/>
      <c r="O82" s="18"/>
      <c r="Q82" s="19"/>
      <c r="R82" s="19"/>
      <c r="S82" s="44"/>
      <c r="T82" s="19"/>
      <c r="U82" s="60"/>
      <c r="V82" s="19"/>
      <c r="W82" s="60"/>
      <c r="X82" s="19"/>
      <c r="Y82" s="19"/>
      <c r="Z82" s="19"/>
      <c r="AA82" s="44"/>
      <c r="AB82" s="19"/>
      <c r="AC82" s="60"/>
      <c r="AD82" s="19"/>
      <c r="AE82" s="60"/>
      <c r="AF82" s="60"/>
      <c r="AG82" s="19"/>
      <c r="AH82" s="60"/>
      <c r="AI82" s="60"/>
      <c r="AJ82" s="19"/>
      <c r="AK82" s="60"/>
      <c r="AL82" s="60"/>
      <c r="AM82" s="19"/>
      <c r="AN82" s="60"/>
      <c r="AO82" s="60"/>
      <c r="AP82" s="60"/>
      <c r="AQ82" s="60"/>
      <c r="AR82" s="60"/>
      <c r="AS82" s="60"/>
      <c r="AT82" s="60"/>
    </row>
    <row r="83" spans="9:46" x14ac:dyDescent="0.2">
      <c r="I83" s="18"/>
      <c r="J83" s="19"/>
      <c r="K83" s="19"/>
      <c r="L83" s="19"/>
      <c r="M83" s="19"/>
      <c r="N83" s="19"/>
      <c r="O83" s="18"/>
      <c r="Q83" s="19"/>
      <c r="R83" s="19"/>
      <c r="S83" s="44"/>
      <c r="T83" s="19"/>
      <c r="U83" s="60"/>
      <c r="V83" s="19"/>
      <c r="W83" s="60"/>
      <c r="X83" s="19"/>
      <c r="Y83" s="19"/>
      <c r="Z83" s="19"/>
      <c r="AA83" s="44"/>
      <c r="AB83" s="19"/>
      <c r="AC83" s="60"/>
      <c r="AD83" s="19"/>
      <c r="AE83" s="60"/>
      <c r="AF83" s="60"/>
      <c r="AG83" s="19"/>
      <c r="AH83" s="60"/>
      <c r="AI83" s="60"/>
      <c r="AJ83" s="19"/>
      <c r="AK83" s="60"/>
      <c r="AL83" s="60"/>
      <c r="AM83" s="19"/>
      <c r="AN83" s="60"/>
      <c r="AO83" s="60"/>
      <c r="AP83" s="60"/>
      <c r="AQ83" s="60"/>
      <c r="AR83" s="60"/>
      <c r="AS83" s="60"/>
      <c r="AT83" s="60"/>
    </row>
    <row r="84" spans="9:46" x14ac:dyDescent="0.2">
      <c r="I84" s="18"/>
      <c r="J84" s="19"/>
      <c r="K84" s="19"/>
      <c r="L84" s="19"/>
      <c r="M84" s="19"/>
      <c r="N84" s="19"/>
      <c r="O84" s="18"/>
      <c r="Q84" s="19"/>
      <c r="R84" s="19"/>
      <c r="S84" s="44"/>
      <c r="T84" s="19"/>
      <c r="U84" s="60"/>
      <c r="V84" s="19"/>
      <c r="W84" s="60"/>
      <c r="X84" s="19"/>
      <c r="Y84" s="19"/>
      <c r="Z84" s="19"/>
      <c r="AA84" s="44"/>
      <c r="AB84" s="19"/>
      <c r="AC84" s="60"/>
      <c r="AD84" s="19"/>
      <c r="AE84" s="60"/>
      <c r="AF84" s="60"/>
      <c r="AG84" s="19"/>
      <c r="AH84" s="60"/>
      <c r="AI84" s="60"/>
      <c r="AJ84" s="19"/>
      <c r="AK84" s="60"/>
      <c r="AL84" s="60"/>
      <c r="AM84" s="19"/>
      <c r="AN84" s="60"/>
      <c r="AO84" s="60"/>
      <c r="AP84" s="60"/>
      <c r="AQ84" s="60"/>
      <c r="AR84" s="60"/>
      <c r="AS84" s="60"/>
      <c r="AT84" s="60"/>
    </row>
    <row r="85" spans="9:46" x14ac:dyDescent="0.2">
      <c r="I85" s="18"/>
      <c r="J85" s="19"/>
      <c r="K85" s="19"/>
      <c r="L85" s="19"/>
      <c r="M85" s="19"/>
      <c r="N85" s="19"/>
      <c r="O85" s="18"/>
      <c r="Q85" s="19"/>
      <c r="R85" s="19"/>
      <c r="S85" s="44"/>
      <c r="T85" s="19"/>
      <c r="U85" s="60"/>
      <c r="V85" s="19"/>
      <c r="W85" s="60"/>
      <c r="X85" s="19"/>
      <c r="Y85" s="19"/>
      <c r="Z85" s="19"/>
      <c r="AA85" s="44"/>
      <c r="AB85" s="19"/>
      <c r="AC85" s="60"/>
      <c r="AD85" s="19"/>
      <c r="AE85" s="60"/>
      <c r="AF85" s="60"/>
      <c r="AG85" s="19"/>
      <c r="AH85" s="60"/>
      <c r="AI85" s="60"/>
      <c r="AJ85" s="19"/>
      <c r="AK85" s="60"/>
      <c r="AL85" s="60"/>
      <c r="AM85" s="19"/>
      <c r="AN85" s="60"/>
      <c r="AO85" s="60"/>
      <c r="AP85" s="60"/>
      <c r="AQ85" s="60"/>
      <c r="AR85" s="60"/>
      <c r="AS85" s="60"/>
      <c r="AT85" s="60"/>
    </row>
    <row r="86" spans="9:46" x14ac:dyDescent="0.2">
      <c r="I86" s="18"/>
      <c r="J86" s="19"/>
      <c r="K86" s="19"/>
      <c r="L86" s="19"/>
      <c r="M86" s="19"/>
      <c r="N86" s="19"/>
      <c r="O86" s="18"/>
      <c r="Q86" s="19"/>
      <c r="R86" s="19"/>
      <c r="S86" s="44"/>
      <c r="T86" s="19"/>
      <c r="U86" s="60"/>
      <c r="V86" s="19"/>
      <c r="W86" s="60"/>
      <c r="X86" s="19"/>
      <c r="Y86" s="19"/>
      <c r="Z86" s="19"/>
      <c r="AA86" s="44"/>
      <c r="AB86" s="19"/>
      <c r="AC86" s="60"/>
      <c r="AD86" s="19"/>
      <c r="AE86" s="60"/>
      <c r="AF86" s="60"/>
      <c r="AG86" s="19"/>
      <c r="AH86" s="60"/>
      <c r="AI86" s="60"/>
      <c r="AJ86" s="19"/>
      <c r="AK86" s="60"/>
      <c r="AL86" s="60"/>
      <c r="AM86" s="19"/>
      <c r="AN86" s="60"/>
      <c r="AO86" s="60"/>
      <c r="AP86" s="60"/>
      <c r="AQ86" s="60"/>
      <c r="AR86" s="60"/>
      <c r="AS86" s="60"/>
      <c r="AT86" s="60"/>
    </row>
    <row r="87" spans="9:46" x14ac:dyDescent="0.2">
      <c r="I87" s="18"/>
      <c r="J87" s="19"/>
      <c r="K87" s="19"/>
      <c r="L87" s="19"/>
      <c r="M87" s="19"/>
      <c r="N87" s="19"/>
      <c r="O87" s="18"/>
      <c r="Q87" s="19"/>
      <c r="R87" s="19"/>
      <c r="S87" s="44"/>
      <c r="T87" s="19"/>
      <c r="U87" s="60"/>
      <c r="V87" s="19"/>
      <c r="W87" s="60"/>
      <c r="X87" s="19"/>
      <c r="Y87" s="19"/>
      <c r="Z87" s="19"/>
      <c r="AA87" s="44"/>
      <c r="AB87" s="19"/>
      <c r="AC87" s="60"/>
      <c r="AD87" s="19"/>
      <c r="AE87" s="60"/>
      <c r="AF87" s="60"/>
      <c r="AG87" s="19"/>
      <c r="AH87" s="60"/>
      <c r="AI87" s="60"/>
      <c r="AJ87" s="19"/>
      <c r="AK87" s="60"/>
      <c r="AL87" s="60"/>
      <c r="AM87" s="19"/>
      <c r="AN87" s="60"/>
      <c r="AO87" s="60"/>
      <c r="AP87" s="60"/>
      <c r="AQ87" s="60"/>
      <c r="AR87" s="60"/>
      <c r="AS87" s="60"/>
      <c r="AT87" s="60"/>
    </row>
    <row r="88" spans="9:46" x14ac:dyDescent="0.2">
      <c r="I88" s="18"/>
      <c r="J88" s="19"/>
      <c r="K88" s="19"/>
      <c r="L88" s="19"/>
      <c r="M88" s="19"/>
      <c r="N88" s="19"/>
      <c r="O88" s="18"/>
      <c r="Q88" s="19"/>
      <c r="R88" s="19"/>
      <c r="S88" s="44"/>
      <c r="T88" s="19"/>
      <c r="U88" s="60"/>
      <c r="V88" s="19"/>
      <c r="W88" s="60"/>
      <c r="X88" s="19"/>
      <c r="Y88" s="19"/>
      <c r="Z88" s="19"/>
      <c r="AA88" s="44"/>
      <c r="AB88" s="19"/>
      <c r="AC88" s="60"/>
      <c r="AD88" s="19"/>
      <c r="AE88" s="60"/>
      <c r="AF88" s="60"/>
      <c r="AG88" s="19"/>
      <c r="AH88" s="60"/>
      <c r="AI88" s="60"/>
      <c r="AJ88" s="19"/>
      <c r="AK88" s="60"/>
      <c r="AL88" s="60"/>
      <c r="AM88" s="19"/>
      <c r="AN88" s="60"/>
      <c r="AO88" s="60"/>
      <c r="AP88" s="60"/>
      <c r="AQ88" s="60"/>
      <c r="AR88" s="60"/>
      <c r="AS88" s="60"/>
      <c r="AT88" s="60"/>
    </row>
    <row r="89" spans="9:46" x14ac:dyDescent="0.2">
      <c r="I89" s="18"/>
      <c r="J89" s="19"/>
      <c r="K89" s="19"/>
      <c r="L89" s="19"/>
      <c r="M89" s="19"/>
      <c r="N89" s="19"/>
      <c r="O89" s="18"/>
      <c r="Q89" s="19"/>
      <c r="R89" s="19"/>
      <c r="S89" s="44"/>
      <c r="T89" s="19"/>
      <c r="U89" s="60"/>
      <c r="V89" s="19"/>
      <c r="W89" s="60"/>
      <c r="X89" s="19"/>
      <c r="Y89" s="19"/>
      <c r="Z89" s="19"/>
      <c r="AA89" s="44"/>
      <c r="AB89" s="19"/>
      <c r="AC89" s="60"/>
      <c r="AD89" s="19"/>
      <c r="AE89" s="60"/>
      <c r="AF89" s="60"/>
      <c r="AG89" s="19"/>
      <c r="AH89" s="60"/>
      <c r="AI89" s="60"/>
      <c r="AJ89" s="19"/>
      <c r="AK89" s="60"/>
      <c r="AL89" s="60"/>
      <c r="AM89" s="19"/>
      <c r="AN89" s="60"/>
      <c r="AO89" s="60"/>
      <c r="AP89" s="60"/>
      <c r="AQ89" s="60"/>
      <c r="AR89" s="60"/>
      <c r="AS89" s="60"/>
      <c r="AT89" s="60"/>
    </row>
    <row r="90" spans="9:46" x14ac:dyDescent="0.2">
      <c r="I90" s="18"/>
      <c r="J90" s="19"/>
      <c r="K90" s="19"/>
      <c r="L90" s="19"/>
      <c r="M90" s="19"/>
      <c r="N90" s="19"/>
      <c r="O90" s="18"/>
      <c r="Q90" s="19"/>
      <c r="R90" s="19"/>
      <c r="S90" s="44"/>
      <c r="T90" s="19"/>
      <c r="U90" s="60"/>
      <c r="V90" s="19"/>
      <c r="W90" s="60"/>
      <c r="X90" s="19"/>
      <c r="Y90" s="19"/>
      <c r="Z90" s="19"/>
      <c r="AA90" s="44"/>
      <c r="AB90" s="19"/>
      <c r="AC90" s="60"/>
      <c r="AD90" s="19"/>
      <c r="AE90" s="60"/>
      <c r="AF90" s="60"/>
      <c r="AG90" s="19"/>
      <c r="AH90" s="60"/>
      <c r="AI90" s="60"/>
      <c r="AJ90" s="19"/>
      <c r="AK90" s="60"/>
      <c r="AL90" s="60"/>
      <c r="AM90" s="19"/>
      <c r="AN90" s="60"/>
      <c r="AO90" s="60"/>
      <c r="AP90" s="60"/>
      <c r="AQ90" s="60"/>
      <c r="AR90" s="60"/>
      <c r="AS90" s="60"/>
      <c r="AT90" s="60"/>
    </row>
    <row r="91" spans="9:46" x14ac:dyDescent="0.2">
      <c r="I91" s="18"/>
      <c r="J91" s="19"/>
      <c r="K91" s="19"/>
      <c r="L91" s="19"/>
      <c r="M91" s="19"/>
      <c r="N91" s="19"/>
      <c r="O91" s="18"/>
      <c r="Q91" s="19"/>
      <c r="R91" s="19"/>
      <c r="S91" s="44"/>
      <c r="T91" s="19"/>
      <c r="U91" s="60"/>
      <c r="V91" s="19"/>
      <c r="W91" s="60"/>
      <c r="X91" s="19"/>
      <c r="Y91" s="19"/>
      <c r="Z91" s="19"/>
      <c r="AA91" s="44"/>
      <c r="AB91" s="19"/>
      <c r="AC91" s="60"/>
      <c r="AD91" s="19"/>
      <c r="AE91" s="60"/>
      <c r="AF91" s="60"/>
      <c r="AG91" s="19"/>
      <c r="AH91" s="60"/>
      <c r="AI91" s="60"/>
      <c r="AJ91" s="19"/>
      <c r="AK91" s="60"/>
      <c r="AL91" s="60"/>
      <c r="AM91" s="19"/>
      <c r="AN91" s="60"/>
      <c r="AO91" s="60"/>
      <c r="AP91" s="60"/>
      <c r="AQ91" s="60"/>
      <c r="AR91" s="60"/>
      <c r="AS91" s="60"/>
      <c r="AT91" s="60"/>
    </row>
    <row r="92" spans="9:46" x14ac:dyDescent="0.2">
      <c r="I92" s="18"/>
      <c r="J92" s="19"/>
      <c r="K92" s="19"/>
      <c r="L92" s="19"/>
      <c r="M92" s="19"/>
      <c r="N92" s="19"/>
      <c r="O92" s="18"/>
      <c r="Q92" s="19"/>
      <c r="R92" s="19"/>
      <c r="S92" s="44"/>
      <c r="T92" s="19"/>
      <c r="U92" s="60"/>
      <c r="V92" s="19"/>
      <c r="W92" s="60"/>
      <c r="X92" s="19"/>
      <c r="Y92" s="19"/>
      <c r="Z92" s="19"/>
      <c r="AA92" s="44"/>
      <c r="AB92" s="19"/>
      <c r="AC92" s="60"/>
      <c r="AD92" s="19"/>
      <c r="AE92" s="60"/>
      <c r="AF92" s="60"/>
      <c r="AG92" s="19"/>
      <c r="AH92" s="60"/>
      <c r="AI92" s="60"/>
      <c r="AJ92" s="19"/>
      <c r="AK92" s="60"/>
      <c r="AL92" s="60"/>
      <c r="AM92" s="19"/>
      <c r="AN92" s="60"/>
      <c r="AO92" s="60"/>
      <c r="AP92" s="60"/>
      <c r="AQ92" s="60"/>
      <c r="AR92" s="60"/>
      <c r="AS92" s="60"/>
      <c r="AT92" s="60"/>
    </row>
    <row r="93" spans="9:46" x14ac:dyDescent="0.2">
      <c r="I93" s="18"/>
      <c r="J93" s="19"/>
      <c r="K93" s="19"/>
      <c r="L93" s="19"/>
      <c r="M93" s="19"/>
      <c r="N93" s="19"/>
      <c r="O93" s="18"/>
      <c r="Q93" s="19"/>
      <c r="R93" s="19"/>
      <c r="S93" s="44"/>
      <c r="T93" s="19"/>
      <c r="U93" s="60"/>
      <c r="V93" s="19"/>
      <c r="W93" s="60"/>
      <c r="X93" s="19"/>
      <c r="Y93" s="19"/>
      <c r="Z93" s="19"/>
      <c r="AA93" s="44"/>
      <c r="AB93" s="19"/>
      <c r="AC93" s="60"/>
      <c r="AD93" s="19"/>
      <c r="AE93" s="60"/>
      <c r="AF93" s="60"/>
      <c r="AG93" s="19"/>
      <c r="AH93" s="60"/>
      <c r="AI93" s="60"/>
      <c r="AJ93" s="19"/>
      <c r="AK93" s="60"/>
      <c r="AL93" s="60"/>
      <c r="AM93" s="19"/>
      <c r="AN93" s="60"/>
      <c r="AO93" s="60"/>
      <c r="AP93" s="60"/>
      <c r="AQ93" s="60"/>
      <c r="AR93" s="60"/>
      <c r="AS93" s="60"/>
      <c r="AT93" s="60"/>
    </row>
    <row r="94" spans="9:46" x14ac:dyDescent="0.2">
      <c r="I94" s="18"/>
      <c r="J94" s="19"/>
      <c r="K94" s="19"/>
      <c r="L94" s="19"/>
      <c r="M94" s="19"/>
      <c r="N94" s="19"/>
      <c r="O94" s="18"/>
      <c r="Q94" s="19"/>
      <c r="R94" s="19"/>
      <c r="S94" s="44"/>
      <c r="T94" s="19"/>
      <c r="U94" s="60"/>
      <c r="V94" s="19"/>
      <c r="W94" s="60"/>
      <c r="X94" s="19"/>
      <c r="Y94" s="19"/>
      <c r="Z94" s="19"/>
      <c r="AA94" s="44"/>
      <c r="AB94" s="19"/>
      <c r="AC94" s="60"/>
      <c r="AD94" s="19"/>
      <c r="AE94" s="60"/>
      <c r="AF94" s="60"/>
      <c r="AG94" s="19"/>
      <c r="AH94" s="60"/>
      <c r="AI94" s="60"/>
      <c r="AJ94" s="19"/>
      <c r="AK94" s="60"/>
      <c r="AL94" s="60"/>
      <c r="AM94" s="19"/>
      <c r="AN94" s="60"/>
      <c r="AO94" s="60"/>
      <c r="AP94" s="60"/>
      <c r="AQ94" s="60"/>
      <c r="AR94" s="60"/>
      <c r="AS94" s="60"/>
      <c r="AT94" s="60"/>
    </row>
    <row r="95" spans="9:46" x14ac:dyDescent="0.2">
      <c r="I95" s="18"/>
      <c r="J95" s="19"/>
      <c r="K95" s="19"/>
      <c r="L95" s="19"/>
      <c r="M95" s="19"/>
      <c r="N95" s="19"/>
      <c r="O95" s="18"/>
      <c r="Q95" s="19"/>
      <c r="R95" s="19"/>
      <c r="S95" s="44"/>
      <c r="T95" s="19"/>
      <c r="U95" s="60"/>
      <c r="V95" s="19"/>
      <c r="W95" s="60"/>
      <c r="X95" s="19"/>
      <c r="Y95" s="19"/>
      <c r="Z95" s="19"/>
      <c r="AA95" s="44"/>
      <c r="AB95" s="19"/>
      <c r="AC95" s="60"/>
      <c r="AD95" s="19"/>
      <c r="AE95" s="60"/>
      <c r="AF95" s="60"/>
      <c r="AG95" s="19"/>
      <c r="AH95" s="60"/>
      <c r="AI95" s="60"/>
      <c r="AJ95" s="19"/>
      <c r="AK95" s="60"/>
      <c r="AL95" s="60"/>
      <c r="AM95" s="19"/>
      <c r="AN95" s="60"/>
      <c r="AO95" s="60"/>
      <c r="AP95" s="60"/>
      <c r="AQ95" s="60"/>
      <c r="AR95" s="60"/>
      <c r="AS95" s="60"/>
      <c r="AT95" s="60"/>
    </row>
    <row r="96" spans="9:46" x14ac:dyDescent="0.2">
      <c r="I96" s="18"/>
      <c r="J96" s="19"/>
      <c r="K96" s="19"/>
      <c r="L96" s="19"/>
      <c r="M96" s="19"/>
      <c r="N96" s="19"/>
      <c r="O96" s="18"/>
      <c r="Q96" s="19"/>
      <c r="R96" s="19"/>
      <c r="S96" s="44"/>
      <c r="T96" s="19"/>
      <c r="U96" s="60"/>
      <c r="V96" s="19"/>
      <c r="W96" s="60"/>
      <c r="X96" s="19"/>
      <c r="Y96" s="19"/>
      <c r="Z96" s="19"/>
      <c r="AA96" s="44"/>
      <c r="AB96" s="19"/>
      <c r="AC96" s="60"/>
      <c r="AD96" s="19"/>
      <c r="AE96" s="60"/>
      <c r="AF96" s="60"/>
      <c r="AG96" s="19"/>
      <c r="AH96" s="60"/>
      <c r="AI96" s="60"/>
      <c r="AJ96" s="19"/>
      <c r="AK96" s="60"/>
      <c r="AL96" s="60"/>
      <c r="AM96" s="19"/>
      <c r="AN96" s="60"/>
      <c r="AO96" s="60"/>
      <c r="AP96" s="60"/>
      <c r="AQ96" s="60"/>
      <c r="AR96" s="60"/>
      <c r="AS96" s="60"/>
      <c r="AT96" s="60"/>
    </row>
    <row r="97" spans="9:46" x14ac:dyDescent="0.2">
      <c r="I97" s="18"/>
      <c r="J97" s="19"/>
      <c r="K97" s="19"/>
      <c r="L97" s="19"/>
      <c r="M97" s="19"/>
      <c r="N97" s="19"/>
      <c r="O97" s="18"/>
      <c r="Q97" s="19"/>
      <c r="R97" s="19"/>
      <c r="S97" s="44"/>
      <c r="T97" s="19"/>
      <c r="U97" s="60"/>
      <c r="V97" s="19"/>
      <c r="W97" s="60"/>
      <c r="X97" s="19"/>
      <c r="Y97" s="19"/>
      <c r="Z97" s="19"/>
      <c r="AA97" s="44"/>
      <c r="AB97" s="19"/>
      <c r="AC97" s="60"/>
      <c r="AD97" s="19"/>
      <c r="AE97" s="60"/>
      <c r="AF97" s="60"/>
      <c r="AG97" s="19"/>
      <c r="AH97" s="60"/>
      <c r="AI97" s="60"/>
      <c r="AJ97" s="19"/>
      <c r="AK97" s="60"/>
      <c r="AL97" s="60"/>
      <c r="AM97" s="19"/>
      <c r="AN97" s="60"/>
      <c r="AO97" s="60"/>
      <c r="AP97" s="60"/>
      <c r="AQ97" s="60"/>
      <c r="AR97" s="60"/>
      <c r="AS97" s="60"/>
      <c r="AT97" s="60"/>
    </row>
    <row r="98" spans="9:46" x14ac:dyDescent="0.2">
      <c r="I98" s="18"/>
      <c r="J98" s="19"/>
      <c r="K98" s="19"/>
      <c r="L98" s="19"/>
      <c r="M98" s="19"/>
      <c r="N98" s="19"/>
      <c r="O98" s="18"/>
      <c r="Q98" s="19"/>
      <c r="R98" s="19"/>
      <c r="S98" s="44"/>
      <c r="T98" s="19"/>
      <c r="U98" s="60"/>
      <c r="V98" s="19"/>
      <c r="W98" s="60"/>
      <c r="X98" s="19"/>
      <c r="Y98" s="19"/>
      <c r="Z98" s="19"/>
      <c r="AA98" s="44"/>
      <c r="AB98" s="19"/>
      <c r="AC98" s="60"/>
      <c r="AD98" s="19"/>
      <c r="AE98" s="60"/>
      <c r="AF98" s="60"/>
      <c r="AG98" s="19"/>
      <c r="AH98" s="60"/>
      <c r="AI98" s="60"/>
      <c r="AJ98" s="19"/>
      <c r="AK98" s="60"/>
      <c r="AL98" s="60"/>
      <c r="AM98" s="19"/>
      <c r="AN98" s="60"/>
      <c r="AO98" s="60"/>
      <c r="AP98" s="60"/>
      <c r="AQ98" s="60"/>
      <c r="AR98" s="60"/>
      <c r="AS98" s="60"/>
      <c r="AT98" s="60"/>
    </row>
    <row r="99" spans="9:46" x14ac:dyDescent="0.2">
      <c r="I99" s="18"/>
      <c r="J99" s="19"/>
      <c r="K99" s="19"/>
      <c r="L99" s="19"/>
      <c r="M99" s="19"/>
      <c r="N99" s="19"/>
      <c r="O99" s="18"/>
      <c r="Q99" s="19"/>
      <c r="R99" s="19"/>
      <c r="S99" s="44"/>
      <c r="T99" s="19"/>
      <c r="U99" s="60"/>
      <c r="V99" s="19"/>
      <c r="W99" s="60"/>
      <c r="X99" s="19"/>
      <c r="Y99" s="19"/>
      <c r="Z99" s="19"/>
      <c r="AA99" s="44"/>
      <c r="AB99" s="19"/>
      <c r="AC99" s="60"/>
      <c r="AD99" s="19"/>
      <c r="AE99" s="60"/>
      <c r="AF99" s="60"/>
      <c r="AG99" s="19"/>
      <c r="AH99" s="60"/>
      <c r="AI99" s="60"/>
      <c r="AJ99" s="19"/>
      <c r="AK99" s="60"/>
      <c r="AL99" s="60"/>
      <c r="AM99" s="19"/>
      <c r="AN99" s="60"/>
      <c r="AO99" s="60"/>
      <c r="AP99" s="60"/>
      <c r="AQ99" s="60"/>
      <c r="AR99" s="60"/>
      <c r="AS99" s="60"/>
      <c r="AT99" s="60"/>
    </row>
    <row r="100" spans="9:46" x14ac:dyDescent="0.2">
      <c r="I100" s="18"/>
      <c r="J100" s="19"/>
      <c r="K100" s="19"/>
      <c r="L100" s="19"/>
      <c r="M100" s="19"/>
      <c r="N100" s="19"/>
      <c r="O100" s="18"/>
      <c r="Q100" s="19"/>
      <c r="R100" s="19"/>
      <c r="S100" s="44"/>
      <c r="T100" s="19"/>
      <c r="U100" s="60"/>
      <c r="V100" s="19"/>
      <c r="W100" s="60"/>
      <c r="X100" s="19"/>
      <c r="Y100" s="19"/>
      <c r="Z100" s="19"/>
      <c r="AA100" s="44"/>
      <c r="AB100" s="19"/>
      <c r="AC100" s="60"/>
      <c r="AD100" s="19"/>
      <c r="AE100" s="60"/>
      <c r="AF100" s="60"/>
      <c r="AG100" s="19"/>
      <c r="AH100" s="60"/>
      <c r="AI100" s="60"/>
      <c r="AJ100" s="19"/>
      <c r="AK100" s="60"/>
      <c r="AL100" s="60"/>
      <c r="AM100" s="19"/>
      <c r="AN100" s="60"/>
      <c r="AO100" s="60"/>
      <c r="AP100" s="60"/>
      <c r="AQ100" s="60"/>
      <c r="AR100" s="60"/>
      <c r="AS100" s="60"/>
      <c r="AT100" s="60"/>
    </row>
    <row r="101" spans="9:46" x14ac:dyDescent="0.2">
      <c r="I101" s="18"/>
      <c r="J101" s="19"/>
      <c r="K101" s="19"/>
      <c r="L101" s="19"/>
      <c r="M101" s="19"/>
      <c r="N101" s="19"/>
      <c r="O101" s="18"/>
      <c r="Q101" s="19"/>
      <c r="R101" s="19"/>
      <c r="S101" s="44"/>
      <c r="T101" s="19"/>
      <c r="U101" s="60"/>
      <c r="V101" s="19"/>
      <c r="W101" s="60"/>
      <c r="X101" s="19"/>
      <c r="Y101" s="19"/>
      <c r="Z101" s="19"/>
      <c r="AA101" s="44"/>
      <c r="AB101" s="19"/>
      <c r="AC101" s="60"/>
      <c r="AD101" s="19"/>
      <c r="AE101" s="60"/>
      <c r="AF101" s="60"/>
      <c r="AG101" s="19"/>
      <c r="AH101" s="60"/>
      <c r="AI101" s="60"/>
      <c r="AJ101" s="19"/>
      <c r="AK101" s="60"/>
      <c r="AL101" s="60"/>
      <c r="AM101" s="19"/>
      <c r="AN101" s="60"/>
      <c r="AO101" s="60"/>
      <c r="AP101" s="60"/>
      <c r="AQ101" s="60"/>
      <c r="AR101" s="60"/>
      <c r="AS101" s="60"/>
      <c r="AT101" s="60"/>
    </row>
    <row r="102" spans="9:46" x14ac:dyDescent="0.2">
      <c r="I102" s="18"/>
      <c r="J102" s="19"/>
      <c r="K102" s="19"/>
      <c r="L102" s="19"/>
      <c r="M102" s="19"/>
      <c r="N102" s="19"/>
      <c r="O102" s="18"/>
      <c r="Q102" s="19"/>
      <c r="R102" s="19"/>
      <c r="S102" s="44"/>
      <c r="T102" s="19"/>
      <c r="U102" s="60"/>
      <c r="V102" s="19"/>
      <c r="W102" s="60"/>
      <c r="X102" s="19"/>
      <c r="Y102" s="19"/>
      <c r="Z102" s="19"/>
      <c r="AA102" s="44"/>
      <c r="AB102" s="19"/>
      <c r="AC102" s="60"/>
      <c r="AD102" s="19"/>
      <c r="AE102" s="60"/>
      <c r="AF102" s="60"/>
      <c r="AG102" s="19"/>
      <c r="AH102" s="60"/>
      <c r="AI102" s="60"/>
      <c r="AJ102" s="19"/>
      <c r="AK102" s="60"/>
      <c r="AL102" s="60"/>
      <c r="AM102" s="19"/>
      <c r="AN102" s="60"/>
      <c r="AO102" s="60"/>
      <c r="AP102" s="60"/>
      <c r="AQ102" s="60"/>
      <c r="AR102" s="60"/>
      <c r="AS102" s="60"/>
      <c r="AT102" s="60"/>
    </row>
    <row r="103" spans="9:46" x14ac:dyDescent="0.2">
      <c r="I103" s="18"/>
      <c r="J103" s="19"/>
      <c r="K103" s="19"/>
      <c r="L103" s="19"/>
      <c r="M103" s="19"/>
      <c r="N103" s="19"/>
      <c r="O103" s="18"/>
      <c r="Q103" s="19"/>
      <c r="R103" s="19"/>
      <c r="S103" s="44"/>
      <c r="T103" s="19"/>
      <c r="U103" s="60"/>
      <c r="V103" s="19"/>
      <c r="W103" s="60"/>
      <c r="X103" s="19"/>
      <c r="Y103" s="19"/>
      <c r="Z103" s="19"/>
      <c r="AA103" s="44"/>
      <c r="AB103" s="19"/>
      <c r="AC103" s="60"/>
      <c r="AD103" s="19"/>
      <c r="AE103" s="60"/>
      <c r="AF103" s="60"/>
      <c r="AG103" s="19"/>
      <c r="AH103" s="60"/>
      <c r="AI103" s="60"/>
      <c r="AJ103" s="19"/>
      <c r="AK103" s="60"/>
      <c r="AL103" s="60"/>
      <c r="AM103" s="19"/>
      <c r="AN103" s="60"/>
      <c r="AO103" s="60"/>
      <c r="AP103" s="60"/>
      <c r="AQ103" s="60"/>
      <c r="AR103" s="60"/>
      <c r="AS103" s="60"/>
      <c r="AT103" s="60"/>
    </row>
    <row r="104" spans="9:46" x14ac:dyDescent="0.2">
      <c r="I104" s="18"/>
      <c r="J104" s="19"/>
      <c r="K104" s="19"/>
      <c r="L104" s="19"/>
      <c r="M104" s="19"/>
      <c r="N104" s="19"/>
      <c r="O104" s="18"/>
      <c r="Q104" s="19"/>
      <c r="R104" s="19"/>
      <c r="S104" s="44"/>
      <c r="T104" s="19"/>
      <c r="U104" s="60"/>
      <c r="V104" s="19"/>
      <c r="W104" s="60"/>
      <c r="X104" s="19"/>
      <c r="Y104" s="19"/>
      <c r="Z104" s="19"/>
      <c r="AA104" s="44"/>
      <c r="AB104" s="19"/>
      <c r="AC104" s="60"/>
      <c r="AD104" s="19"/>
      <c r="AE104" s="60"/>
      <c r="AF104" s="60"/>
      <c r="AG104" s="19"/>
      <c r="AH104" s="60"/>
      <c r="AI104" s="60"/>
      <c r="AJ104" s="19"/>
      <c r="AK104" s="60"/>
      <c r="AL104" s="60"/>
      <c r="AM104" s="19"/>
      <c r="AN104" s="60"/>
      <c r="AO104" s="60"/>
      <c r="AP104" s="60"/>
      <c r="AQ104" s="60"/>
      <c r="AR104" s="60"/>
      <c r="AS104" s="60"/>
      <c r="AT104" s="60"/>
    </row>
    <row r="105" spans="9:46" x14ac:dyDescent="0.2">
      <c r="I105" s="18"/>
      <c r="J105" s="19"/>
      <c r="K105" s="19"/>
      <c r="L105" s="19"/>
      <c r="M105" s="19"/>
      <c r="N105" s="19"/>
      <c r="O105" s="18"/>
      <c r="Q105" s="19"/>
      <c r="R105" s="19"/>
      <c r="S105" s="44"/>
      <c r="T105" s="19"/>
      <c r="U105" s="60"/>
      <c r="V105" s="19"/>
      <c r="W105" s="60"/>
      <c r="X105" s="19"/>
      <c r="Y105" s="19"/>
      <c r="Z105" s="19"/>
      <c r="AA105" s="44"/>
      <c r="AB105" s="19"/>
      <c r="AC105" s="60"/>
      <c r="AD105" s="19"/>
      <c r="AE105" s="60"/>
      <c r="AF105" s="60"/>
      <c r="AG105" s="19"/>
      <c r="AH105" s="60"/>
      <c r="AI105" s="60"/>
      <c r="AJ105" s="19"/>
      <c r="AK105" s="60"/>
      <c r="AL105" s="60"/>
      <c r="AM105" s="19"/>
      <c r="AN105" s="60"/>
      <c r="AO105" s="60"/>
      <c r="AP105" s="60"/>
      <c r="AQ105" s="60"/>
      <c r="AR105" s="60"/>
      <c r="AS105" s="60"/>
      <c r="AT105" s="60"/>
    </row>
    <row r="106" spans="9:46" x14ac:dyDescent="0.2">
      <c r="I106" s="18"/>
      <c r="J106" s="19"/>
      <c r="K106" s="19"/>
      <c r="L106" s="19"/>
      <c r="M106" s="19"/>
      <c r="N106" s="19"/>
      <c r="O106" s="18"/>
      <c r="Q106" s="19"/>
      <c r="R106" s="19"/>
      <c r="S106" s="44"/>
      <c r="T106" s="19"/>
      <c r="U106" s="60"/>
      <c r="V106" s="19"/>
      <c r="W106" s="60"/>
      <c r="X106" s="19"/>
      <c r="Y106" s="19"/>
      <c r="Z106" s="19"/>
      <c r="AA106" s="44"/>
      <c r="AB106" s="19"/>
      <c r="AC106" s="60"/>
      <c r="AD106" s="19"/>
      <c r="AE106" s="60"/>
      <c r="AF106" s="60"/>
      <c r="AG106" s="19"/>
      <c r="AH106" s="60"/>
      <c r="AI106" s="60"/>
      <c r="AJ106" s="19"/>
      <c r="AK106" s="60"/>
      <c r="AL106" s="60"/>
      <c r="AM106" s="19"/>
      <c r="AN106" s="60"/>
      <c r="AO106" s="60"/>
      <c r="AP106" s="60"/>
      <c r="AQ106" s="60"/>
      <c r="AR106" s="60"/>
      <c r="AS106" s="60"/>
      <c r="AT106" s="60"/>
    </row>
    <row r="107" spans="9:46" x14ac:dyDescent="0.2">
      <c r="I107" s="18"/>
      <c r="J107" s="19"/>
      <c r="K107" s="19"/>
      <c r="L107" s="19"/>
      <c r="M107" s="19"/>
      <c r="N107" s="19"/>
      <c r="O107" s="18"/>
      <c r="Q107" s="19"/>
      <c r="R107" s="19"/>
      <c r="S107" s="44"/>
      <c r="T107" s="19"/>
      <c r="U107" s="60"/>
      <c r="V107" s="19"/>
      <c r="W107" s="60"/>
      <c r="X107" s="19"/>
      <c r="Y107" s="19"/>
      <c r="Z107" s="19"/>
      <c r="AA107" s="44"/>
      <c r="AB107" s="19"/>
      <c r="AC107" s="60"/>
      <c r="AD107" s="19"/>
      <c r="AE107" s="60"/>
      <c r="AF107" s="60"/>
      <c r="AG107" s="19"/>
      <c r="AH107" s="60"/>
      <c r="AI107" s="60"/>
      <c r="AJ107" s="19"/>
      <c r="AK107" s="60"/>
      <c r="AL107" s="60"/>
      <c r="AM107" s="19"/>
      <c r="AN107" s="60"/>
      <c r="AO107" s="60"/>
      <c r="AP107" s="60"/>
      <c r="AQ107" s="60"/>
      <c r="AR107" s="60"/>
      <c r="AS107" s="60"/>
      <c r="AT107" s="60"/>
    </row>
    <row r="108" spans="9:46" x14ac:dyDescent="0.2">
      <c r="I108" s="18"/>
      <c r="J108" s="19"/>
      <c r="K108" s="19"/>
      <c r="L108" s="19"/>
      <c r="M108" s="19"/>
      <c r="N108" s="19"/>
      <c r="O108" s="18"/>
      <c r="Q108" s="19"/>
      <c r="R108" s="19"/>
      <c r="S108" s="44"/>
      <c r="T108" s="19"/>
      <c r="U108" s="60"/>
      <c r="V108" s="19"/>
      <c r="W108" s="60"/>
      <c r="X108" s="19"/>
      <c r="Y108" s="19"/>
      <c r="Z108" s="19"/>
      <c r="AA108" s="44"/>
      <c r="AB108" s="19"/>
      <c r="AC108" s="60"/>
      <c r="AD108" s="19"/>
      <c r="AE108" s="60"/>
      <c r="AF108" s="60"/>
      <c r="AG108" s="19"/>
      <c r="AH108" s="60"/>
      <c r="AI108" s="60"/>
      <c r="AJ108" s="19"/>
      <c r="AK108" s="60"/>
      <c r="AL108" s="60"/>
      <c r="AM108" s="19"/>
      <c r="AN108" s="60"/>
      <c r="AO108" s="60"/>
      <c r="AP108" s="60"/>
      <c r="AQ108" s="60"/>
      <c r="AR108" s="60"/>
      <c r="AS108" s="60"/>
      <c r="AT108" s="60"/>
    </row>
    <row r="109" spans="9:46" x14ac:dyDescent="0.2">
      <c r="I109" s="18"/>
      <c r="J109" s="19"/>
      <c r="K109" s="19"/>
      <c r="L109" s="19"/>
      <c r="M109" s="19"/>
      <c r="N109" s="19"/>
      <c r="O109" s="18"/>
      <c r="Q109" s="19"/>
      <c r="R109" s="19"/>
      <c r="S109" s="44"/>
      <c r="T109" s="19"/>
      <c r="U109" s="60"/>
      <c r="V109" s="19"/>
      <c r="W109" s="60"/>
      <c r="X109" s="19"/>
      <c r="Y109" s="19"/>
      <c r="Z109" s="19"/>
      <c r="AA109" s="44"/>
      <c r="AB109" s="19"/>
      <c r="AC109" s="60"/>
      <c r="AD109" s="19"/>
      <c r="AE109" s="60"/>
      <c r="AF109" s="60"/>
      <c r="AG109" s="19"/>
      <c r="AH109" s="60"/>
      <c r="AI109" s="60"/>
      <c r="AJ109" s="19"/>
      <c r="AK109" s="60"/>
      <c r="AL109" s="60"/>
      <c r="AM109" s="19"/>
      <c r="AN109" s="60"/>
      <c r="AO109" s="60"/>
      <c r="AP109" s="60"/>
      <c r="AQ109" s="60"/>
      <c r="AR109" s="60"/>
      <c r="AS109" s="60"/>
      <c r="AT109" s="60"/>
    </row>
    <row r="110" spans="9:46" x14ac:dyDescent="0.2">
      <c r="I110" s="18"/>
      <c r="J110" s="19"/>
      <c r="K110" s="19"/>
      <c r="L110" s="19"/>
      <c r="M110" s="19"/>
      <c r="N110" s="19"/>
      <c r="O110" s="18"/>
      <c r="Q110" s="19"/>
      <c r="R110" s="19"/>
      <c r="S110" s="44"/>
      <c r="T110" s="19"/>
      <c r="U110" s="60"/>
      <c r="V110" s="19"/>
      <c r="W110" s="60"/>
      <c r="X110" s="19"/>
      <c r="Y110" s="19"/>
      <c r="Z110" s="19"/>
      <c r="AA110" s="44"/>
      <c r="AB110" s="19"/>
      <c r="AC110" s="60"/>
      <c r="AD110" s="19"/>
      <c r="AE110" s="60"/>
      <c r="AF110" s="60"/>
      <c r="AG110" s="19"/>
      <c r="AH110" s="60"/>
      <c r="AI110" s="60"/>
      <c r="AJ110" s="19"/>
      <c r="AK110" s="60"/>
      <c r="AL110" s="60"/>
      <c r="AM110" s="19"/>
      <c r="AN110" s="60"/>
      <c r="AO110" s="60"/>
      <c r="AP110" s="60"/>
      <c r="AQ110" s="60"/>
      <c r="AR110" s="60"/>
      <c r="AS110" s="60"/>
      <c r="AT110" s="60"/>
    </row>
    <row r="111" spans="9:46" x14ac:dyDescent="0.2">
      <c r="I111" s="18"/>
      <c r="J111" s="19"/>
      <c r="K111" s="19"/>
      <c r="L111" s="19"/>
      <c r="M111" s="19"/>
      <c r="N111" s="19"/>
      <c r="O111" s="18"/>
      <c r="Q111" s="19"/>
      <c r="R111" s="19"/>
      <c r="S111" s="44"/>
      <c r="T111" s="19"/>
      <c r="U111" s="60"/>
      <c r="V111" s="19"/>
      <c r="W111" s="60"/>
      <c r="X111" s="19"/>
      <c r="Y111" s="19"/>
      <c r="Z111" s="19"/>
      <c r="AA111" s="44"/>
      <c r="AB111" s="19"/>
      <c r="AC111" s="60"/>
      <c r="AD111" s="19"/>
      <c r="AE111" s="60"/>
      <c r="AF111" s="60"/>
      <c r="AG111" s="19"/>
      <c r="AH111" s="60"/>
      <c r="AI111" s="60"/>
      <c r="AJ111" s="19"/>
      <c r="AK111" s="60"/>
      <c r="AL111" s="60"/>
      <c r="AM111" s="19"/>
      <c r="AN111" s="60"/>
      <c r="AO111" s="60"/>
      <c r="AP111" s="60"/>
      <c r="AQ111" s="60"/>
      <c r="AR111" s="60"/>
      <c r="AS111" s="60"/>
      <c r="AT111" s="60"/>
    </row>
    <row r="112" spans="9:46" x14ac:dyDescent="0.2">
      <c r="I112" s="18"/>
      <c r="J112" s="19"/>
      <c r="K112" s="19"/>
      <c r="L112" s="19"/>
      <c r="M112" s="19"/>
      <c r="N112" s="19"/>
      <c r="O112" s="18"/>
      <c r="Q112" s="19"/>
      <c r="R112" s="19"/>
      <c r="S112" s="44"/>
      <c r="T112" s="19"/>
      <c r="U112" s="60"/>
      <c r="V112" s="19"/>
      <c r="W112" s="60"/>
      <c r="X112" s="19"/>
      <c r="Y112" s="19"/>
      <c r="Z112" s="19"/>
      <c r="AA112" s="44"/>
      <c r="AB112" s="19"/>
      <c r="AC112" s="60"/>
      <c r="AD112" s="19"/>
      <c r="AE112" s="60"/>
      <c r="AF112" s="60"/>
      <c r="AG112" s="19"/>
      <c r="AH112" s="60"/>
      <c r="AI112" s="60"/>
      <c r="AJ112" s="19"/>
      <c r="AK112" s="60"/>
      <c r="AL112" s="60"/>
      <c r="AM112" s="19"/>
      <c r="AN112" s="60"/>
      <c r="AO112" s="60"/>
      <c r="AP112" s="60"/>
      <c r="AQ112" s="60"/>
      <c r="AR112" s="60"/>
      <c r="AS112" s="60"/>
      <c r="AT112" s="60"/>
    </row>
    <row r="113" spans="9:46" x14ac:dyDescent="0.2">
      <c r="I113" s="18"/>
      <c r="J113" s="19"/>
      <c r="K113" s="19"/>
      <c r="L113" s="19"/>
      <c r="M113" s="19"/>
      <c r="N113" s="19"/>
      <c r="O113" s="18"/>
      <c r="Q113" s="19"/>
      <c r="R113" s="19"/>
      <c r="S113" s="44"/>
      <c r="T113" s="19"/>
      <c r="U113" s="60"/>
      <c r="V113" s="19"/>
      <c r="W113" s="60"/>
      <c r="X113" s="19"/>
      <c r="Y113" s="19"/>
      <c r="Z113" s="19"/>
      <c r="AA113" s="44"/>
      <c r="AB113" s="19"/>
      <c r="AC113" s="60"/>
      <c r="AD113" s="19"/>
      <c r="AE113" s="60"/>
      <c r="AF113" s="60"/>
      <c r="AG113" s="19"/>
      <c r="AH113" s="60"/>
      <c r="AI113" s="60"/>
      <c r="AJ113" s="19"/>
      <c r="AK113" s="60"/>
      <c r="AL113" s="60"/>
      <c r="AM113" s="19"/>
      <c r="AN113" s="60"/>
      <c r="AO113" s="60"/>
      <c r="AP113" s="60"/>
      <c r="AQ113" s="60"/>
      <c r="AR113" s="60"/>
      <c r="AS113" s="60"/>
      <c r="AT113" s="60"/>
    </row>
    <row r="114" spans="9:46" x14ac:dyDescent="0.2">
      <c r="I114" s="18"/>
      <c r="J114" s="19"/>
      <c r="K114" s="19"/>
      <c r="L114" s="19"/>
      <c r="M114" s="19"/>
      <c r="N114" s="19"/>
      <c r="O114" s="18"/>
      <c r="Q114" s="19"/>
      <c r="R114" s="19"/>
      <c r="S114" s="44"/>
      <c r="T114" s="19"/>
      <c r="U114" s="60"/>
      <c r="V114" s="19"/>
      <c r="W114" s="60"/>
      <c r="X114" s="19"/>
      <c r="Y114" s="19"/>
      <c r="Z114" s="19"/>
      <c r="AA114" s="44"/>
      <c r="AB114" s="19"/>
      <c r="AC114" s="60"/>
      <c r="AD114" s="19"/>
      <c r="AE114" s="60"/>
      <c r="AF114" s="60"/>
      <c r="AG114" s="19"/>
      <c r="AH114" s="60"/>
      <c r="AI114" s="60"/>
      <c r="AJ114" s="19"/>
      <c r="AK114" s="60"/>
      <c r="AL114" s="60"/>
      <c r="AM114" s="19"/>
      <c r="AN114" s="60"/>
      <c r="AO114" s="60"/>
      <c r="AP114" s="60"/>
      <c r="AQ114" s="60"/>
      <c r="AR114" s="60"/>
      <c r="AS114" s="60"/>
      <c r="AT114" s="60"/>
    </row>
    <row r="115" spans="9:46" x14ac:dyDescent="0.2">
      <c r="I115" s="18"/>
      <c r="J115" s="19"/>
      <c r="K115" s="19"/>
      <c r="L115" s="19"/>
      <c r="M115" s="19"/>
      <c r="N115" s="19"/>
      <c r="O115" s="18"/>
      <c r="Q115" s="19"/>
      <c r="R115" s="19"/>
      <c r="S115" s="44"/>
      <c r="T115" s="19"/>
      <c r="U115" s="60"/>
      <c r="V115" s="19"/>
      <c r="W115" s="60"/>
      <c r="X115" s="19"/>
      <c r="Y115" s="19"/>
      <c r="Z115" s="19"/>
      <c r="AA115" s="44"/>
      <c r="AB115" s="19"/>
      <c r="AC115" s="60"/>
      <c r="AD115" s="19"/>
      <c r="AE115" s="60"/>
      <c r="AF115" s="60"/>
      <c r="AG115" s="19"/>
      <c r="AH115" s="60"/>
      <c r="AI115" s="60"/>
      <c r="AJ115" s="19"/>
      <c r="AK115" s="60"/>
      <c r="AL115" s="60"/>
      <c r="AM115" s="19"/>
      <c r="AN115" s="60"/>
      <c r="AO115" s="60"/>
      <c r="AP115" s="60"/>
      <c r="AQ115" s="60"/>
      <c r="AR115" s="60"/>
      <c r="AS115" s="60"/>
      <c r="AT115" s="60"/>
    </row>
    <row r="116" spans="9:46" x14ac:dyDescent="0.2">
      <c r="I116" s="18"/>
      <c r="J116" s="19"/>
      <c r="K116" s="19"/>
      <c r="L116" s="19"/>
      <c r="M116" s="19"/>
      <c r="N116" s="19"/>
      <c r="O116" s="18"/>
      <c r="Q116" s="19"/>
      <c r="R116" s="19"/>
      <c r="S116" s="44"/>
      <c r="T116" s="19"/>
      <c r="U116" s="60"/>
      <c r="V116" s="19"/>
      <c r="W116" s="60"/>
      <c r="X116" s="19"/>
      <c r="Y116" s="19"/>
      <c r="Z116" s="19"/>
      <c r="AA116" s="44"/>
      <c r="AB116" s="19"/>
      <c r="AC116" s="60"/>
      <c r="AD116" s="19"/>
      <c r="AE116" s="60"/>
      <c r="AF116" s="60"/>
      <c r="AG116" s="19"/>
      <c r="AH116" s="60"/>
      <c r="AI116" s="60"/>
      <c r="AJ116" s="19"/>
      <c r="AK116" s="60"/>
      <c r="AL116" s="60"/>
      <c r="AM116" s="19"/>
      <c r="AN116" s="60"/>
      <c r="AO116" s="60"/>
      <c r="AP116" s="60"/>
      <c r="AQ116" s="60"/>
      <c r="AR116" s="60"/>
      <c r="AS116" s="60"/>
      <c r="AT116" s="60"/>
    </row>
    <row r="117" spans="9:46" x14ac:dyDescent="0.2">
      <c r="I117" s="18"/>
      <c r="J117" s="19"/>
      <c r="K117" s="19"/>
      <c r="L117" s="19"/>
      <c r="M117" s="19"/>
      <c r="N117" s="19"/>
      <c r="O117" s="18"/>
      <c r="Q117" s="19"/>
      <c r="R117" s="19"/>
      <c r="S117" s="44"/>
      <c r="T117" s="19"/>
      <c r="U117" s="60"/>
      <c r="V117" s="19"/>
      <c r="W117" s="60"/>
      <c r="X117" s="19"/>
      <c r="Y117" s="19"/>
      <c r="Z117" s="19"/>
      <c r="AA117" s="44"/>
      <c r="AB117" s="19"/>
      <c r="AC117" s="60"/>
      <c r="AD117" s="19"/>
      <c r="AE117" s="60"/>
      <c r="AF117" s="60"/>
      <c r="AG117" s="19"/>
      <c r="AH117" s="60"/>
      <c r="AI117" s="60"/>
      <c r="AJ117" s="19"/>
      <c r="AK117" s="60"/>
      <c r="AL117" s="60"/>
      <c r="AM117" s="19"/>
      <c r="AN117" s="60"/>
      <c r="AO117" s="60"/>
      <c r="AP117" s="60"/>
      <c r="AQ117" s="60"/>
      <c r="AR117" s="60"/>
      <c r="AS117" s="60"/>
      <c r="AT117" s="60"/>
    </row>
    <row r="118" spans="9:46" x14ac:dyDescent="0.2">
      <c r="I118" s="18"/>
      <c r="J118" s="19"/>
      <c r="K118" s="19"/>
      <c r="L118" s="19"/>
      <c r="M118" s="19"/>
      <c r="N118" s="19"/>
      <c r="O118" s="18"/>
      <c r="Q118" s="19"/>
      <c r="R118" s="19"/>
      <c r="S118" s="44"/>
      <c r="T118" s="19"/>
      <c r="U118" s="60"/>
      <c r="V118" s="19"/>
      <c r="W118" s="60"/>
      <c r="X118" s="19"/>
      <c r="Y118" s="19"/>
      <c r="Z118" s="19"/>
      <c r="AA118" s="44"/>
      <c r="AB118" s="19"/>
      <c r="AC118" s="60"/>
      <c r="AD118" s="19"/>
      <c r="AE118" s="60"/>
      <c r="AF118" s="60"/>
      <c r="AG118" s="19"/>
      <c r="AH118" s="60"/>
      <c r="AI118" s="60"/>
      <c r="AJ118" s="19"/>
      <c r="AK118" s="60"/>
      <c r="AL118" s="60"/>
      <c r="AM118" s="19"/>
      <c r="AN118" s="60"/>
      <c r="AO118" s="60"/>
      <c r="AP118" s="60"/>
      <c r="AQ118" s="60"/>
      <c r="AR118" s="60"/>
      <c r="AS118" s="60"/>
      <c r="AT118" s="60"/>
    </row>
    <row r="119" spans="9:46" x14ac:dyDescent="0.2">
      <c r="I119" s="18"/>
      <c r="J119" s="19"/>
      <c r="K119" s="19"/>
      <c r="L119" s="19"/>
      <c r="M119" s="19"/>
      <c r="N119" s="19"/>
      <c r="O119" s="18"/>
      <c r="Q119" s="19"/>
      <c r="R119" s="19"/>
      <c r="S119" s="44"/>
      <c r="T119" s="19"/>
      <c r="U119" s="60"/>
      <c r="V119" s="19"/>
      <c r="W119" s="60"/>
      <c r="X119" s="19"/>
      <c r="Y119" s="19"/>
      <c r="Z119" s="19"/>
      <c r="AA119" s="44"/>
      <c r="AB119" s="19"/>
      <c r="AC119" s="60"/>
      <c r="AD119" s="19"/>
      <c r="AE119" s="60"/>
      <c r="AF119" s="60"/>
      <c r="AG119" s="19"/>
      <c r="AH119" s="60"/>
      <c r="AI119" s="60"/>
      <c r="AJ119" s="19"/>
      <c r="AK119" s="60"/>
      <c r="AL119" s="60"/>
      <c r="AM119" s="19"/>
      <c r="AN119" s="60"/>
      <c r="AO119" s="60"/>
      <c r="AP119" s="60"/>
      <c r="AQ119" s="60"/>
      <c r="AR119" s="60"/>
      <c r="AS119" s="60"/>
      <c r="AT119" s="60"/>
    </row>
    <row r="120" spans="9:46" x14ac:dyDescent="0.2">
      <c r="I120" s="18"/>
      <c r="J120" s="19"/>
      <c r="K120" s="19"/>
      <c r="L120" s="19"/>
      <c r="M120" s="19"/>
      <c r="N120" s="19"/>
      <c r="O120" s="18"/>
      <c r="Q120" s="19"/>
      <c r="R120" s="19"/>
      <c r="S120" s="44"/>
      <c r="T120" s="19"/>
      <c r="U120" s="60"/>
      <c r="V120" s="19"/>
      <c r="W120" s="60"/>
      <c r="X120" s="19"/>
      <c r="Y120" s="19"/>
      <c r="Z120" s="19"/>
      <c r="AA120" s="44"/>
      <c r="AB120" s="19"/>
      <c r="AC120" s="60"/>
      <c r="AD120" s="19"/>
      <c r="AE120" s="60"/>
      <c r="AF120" s="60"/>
      <c r="AG120" s="19"/>
      <c r="AH120" s="60"/>
      <c r="AI120" s="60"/>
      <c r="AJ120" s="19"/>
      <c r="AK120" s="60"/>
      <c r="AL120" s="60"/>
      <c r="AM120" s="19"/>
      <c r="AN120" s="60"/>
      <c r="AO120" s="60"/>
      <c r="AP120" s="60"/>
      <c r="AQ120" s="60"/>
      <c r="AR120" s="60"/>
      <c r="AS120" s="60"/>
      <c r="AT120" s="60"/>
    </row>
    <row r="121" spans="9:46" x14ac:dyDescent="0.2">
      <c r="I121" s="18"/>
      <c r="J121" s="19"/>
      <c r="K121" s="19"/>
      <c r="L121" s="19"/>
      <c r="M121" s="19"/>
      <c r="N121" s="19"/>
      <c r="O121" s="18"/>
      <c r="Q121" s="19"/>
      <c r="R121" s="19"/>
      <c r="S121" s="44"/>
      <c r="T121" s="19"/>
      <c r="U121" s="60"/>
      <c r="V121" s="19"/>
      <c r="W121" s="60"/>
      <c r="X121" s="19"/>
      <c r="Y121" s="19"/>
      <c r="Z121" s="19"/>
      <c r="AA121" s="44"/>
      <c r="AB121" s="19"/>
      <c r="AC121" s="60"/>
      <c r="AD121" s="19"/>
      <c r="AE121" s="60"/>
      <c r="AF121" s="60"/>
      <c r="AG121" s="19"/>
      <c r="AH121" s="60"/>
      <c r="AI121" s="60"/>
      <c r="AJ121" s="19"/>
      <c r="AK121" s="60"/>
      <c r="AL121" s="60"/>
      <c r="AM121" s="19"/>
      <c r="AN121" s="60"/>
      <c r="AO121" s="60"/>
      <c r="AP121" s="60"/>
      <c r="AQ121" s="60"/>
      <c r="AR121" s="60"/>
      <c r="AS121" s="60"/>
      <c r="AT121" s="60"/>
    </row>
    <row r="122" spans="9:46" x14ac:dyDescent="0.2">
      <c r="I122" s="18"/>
      <c r="J122" s="19"/>
      <c r="K122" s="19"/>
      <c r="L122" s="19"/>
      <c r="M122" s="19"/>
      <c r="N122" s="19"/>
      <c r="O122" s="18"/>
      <c r="Q122" s="19"/>
      <c r="R122" s="19"/>
      <c r="S122" s="44"/>
      <c r="T122" s="19"/>
      <c r="U122" s="60"/>
      <c r="V122" s="19"/>
      <c r="W122" s="60"/>
      <c r="X122" s="19"/>
      <c r="Y122" s="19"/>
      <c r="Z122" s="19"/>
      <c r="AA122" s="44"/>
      <c r="AB122" s="19"/>
      <c r="AC122" s="60"/>
      <c r="AD122" s="19"/>
      <c r="AE122" s="60"/>
      <c r="AF122" s="60"/>
      <c r="AG122" s="19"/>
      <c r="AH122" s="60"/>
      <c r="AI122" s="60"/>
      <c r="AJ122" s="19"/>
      <c r="AK122" s="60"/>
      <c r="AL122" s="60"/>
      <c r="AM122" s="19"/>
      <c r="AN122" s="60"/>
      <c r="AO122" s="60"/>
      <c r="AP122" s="60"/>
      <c r="AQ122" s="60"/>
      <c r="AR122" s="60"/>
      <c r="AS122" s="60"/>
      <c r="AT122" s="60"/>
    </row>
    <row r="123" spans="9:46" x14ac:dyDescent="0.2">
      <c r="I123" s="18"/>
      <c r="J123" s="19"/>
      <c r="K123" s="19"/>
      <c r="L123" s="19"/>
      <c r="M123" s="19"/>
      <c r="N123" s="19"/>
      <c r="O123" s="18"/>
      <c r="Q123" s="19"/>
      <c r="R123" s="19"/>
      <c r="S123" s="44"/>
      <c r="T123" s="19"/>
      <c r="U123" s="60"/>
      <c r="V123" s="19"/>
      <c r="W123" s="60"/>
      <c r="X123" s="19"/>
      <c r="Y123" s="19"/>
      <c r="Z123" s="19"/>
      <c r="AA123" s="44"/>
      <c r="AB123" s="19"/>
      <c r="AC123" s="60"/>
      <c r="AD123" s="19"/>
      <c r="AE123" s="60"/>
      <c r="AF123" s="60"/>
      <c r="AG123" s="19"/>
      <c r="AH123" s="60"/>
      <c r="AI123" s="60"/>
      <c r="AJ123" s="19"/>
      <c r="AK123" s="60"/>
      <c r="AL123" s="60"/>
      <c r="AM123" s="19"/>
      <c r="AN123" s="60"/>
      <c r="AO123" s="60"/>
      <c r="AP123" s="60"/>
      <c r="AQ123" s="60"/>
      <c r="AR123" s="60"/>
      <c r="AS123" s="60"/>
      <c r="AT123" s="60"/>
    </row>
    <row r="124" spans="9:46" x14ac:dyDescent="0.2">
      <c r="I124" s="18"/>
      <c r="J124" s="19"/>
      <c r="K124" s="19"/>
      <c r="L124" s="19"/>
      <c r="M124" s="19"/>
      <c r="N124" s="19"/>
      <c r="O124" s="18"/>
      <c r="Q124" s="19"/>
      <c r="R124" s="19"/>
      <c r="S124" s="44"/>
      <c r="T124" s="19"/>
      <c r="U124" s="60"/>
      <c r="V124" s="19"/>
      <c r="W124" s="60"/>
      <c r="X124" s="19"/>
      <c r="Y124" s="19"/>
      <c r="Z124" s="19"/>
      <c r="AA124" s="44"/>
      <c r="AB124" s="19"/>
      <c r="AC124" s="60"/>
      <c r="AD124" s="19"/>
      <c r="AE124" s="60"/>
      <c r="AF124" s="60"/>
      <c r="AG124" s="19"/>
      <c r="AH124" s="60"/>
      <c r="AI124" s="60"/>
      <c r="AJ124" s="19"/>
      <c r="AK124" s="60"/>
      <c r="AL124" s="60"/>
      <c r="AM124" s="19"/>
      <c r="AN124" s="60"/>
      <c r="AO124" s="60"/>
      <c r="AP124" s="60"/>
      <c r="AQ124" s="60"/>
      <c r="AR124" s="60"/>
      <c r="AS124" s="60"/>
      <c r="AT124" s="60"/>
    </row>
    <row r="125" spans="9:46" x14ac:dyDescent="0.2">
      <c r="I125" s="18"/>
      <c r="J125" s="19"/>
      <c r="K125" s="19"/>
      <c r="L125" s="19"/>
      <c r="M125" s="19"/>
      <c r="N125" s="19"/>
      <c r="O125" s="18"/>
      <c r="Q125" s="19"/>
      <c r="R125" s="19"/>
      <c r="S125" s="44"/>
      <c r="T125" s="19"/>
      <c r="U125" s="60"/>
      <c r="V125" s="19"/>
      <c r="W125" s="60"/>
      <c r="X125" s="19"/>
      <c r="Y125" s="19"/>
      <c r="Z125" s="19"/>
      <c r="AA125" s="44"/>
      <c r="AB125" s="19"/>
      <c r="AC125" s="60"/>
      <c r="AD125" s="19"/>
      <c r="AE125" s="60"/>
      <c r="AF125" s="60"/>
      <c r="AG125" s="19"/>
      <c r="AH125" s="60"/>
      <c r="AI125" s="60"/>
      <c r="AJ125" s="19"/>
      <c r="AK125" s="60"/>
      <c r="AL125" s="60"/>
      <c r="AM125" s="19"/>
      <c r="AN125" s="60"/>
      <c r="AO125" s="60"/>
      <c r="AP125" s="60"/>
      <c r="AQ125" s="60"/>
      <c r="AR125" s="60"/>
      <c r="AS125" s="60"/>
      <c r="AT125" s="60"/>
    </row>
    <row r="126" spans="9:46" x14ac:dyDescent="0.2">
      <c r="I126" s="18"/>
      <c r="J126" s="19"/>
      <c r="K126" s="19"/>
      <c r="L126" s="19"/>
      <c r="M126" s="19"/>
      <c r="N126" s="19"/>
      <c r="O126" s="18"/>
      <c r="Q126" s="19"/>
      <c r="R126" s="19"/>
      <c r="S126" s="44"/>
      <c r="T126" s="19"/>
      <c r="U126" s="60"/>
      <c r="V126" s="19"/>
      <c r="W126" s="60"/>
      <c r="X126" s="19"/>
      <c r="Y126" s="19"/>
      <c r="Z126" s="19"/>
      <c r="AA126" s="44"/>
      <c r="AB126" s="19"/>
      <c r="AC126" s="60"/>
      <c r="AD126" s="19"/>
      <c r="AE126" s="60"/>
      <c r="AF126" s="60"/>
      <c r="AG126" s="19"/>
      <c r="AH126" s="60"/>
      <c r="AI126" s="60"/>
      <c r="AJ126" s="19"/>
      <c r="AK126" s="60"/>
      <c r="AL126" s="60"/>
      <c r="AM126" s="19"/>
      <c r="AN126" s="60"/>
      <c r="AO126" s="60"/>
      <c r="AP126" s="60"/>
      <c r="AQ126" s="60"/>
      <c r="AR126" s="60"/>
      <c r="AS126" s="60"/>
      <c r="AT126" s="60"/>
    </row>
    <row r="127" spans="9:46" x14ac:dyDescent="0.2">
      <c r="I127" s="18"/>
      <c r="J127" s="19"/>
      <c r="K127" s="19"/>
      <c r="L127" s="19"/>
      <c r="M127" s="19"/>
      <c r="N127" s="19"/>
      <c r="O127" s="18"/>
      <c r="Q127" s="19"/>
      <c r="R127" s="19"/>
      <c r="S127" s="44"/>
      <c r="T127" s="19"/>
      <c r="U127" s="60"/>
      <c r="V127" s="19"/>
      <c r="W127" s="60"/>
      <c r="X127" s="19"/>
      <c r="Y127" s="19"/>
      <c r="Z127" s="19"/>
      <c r="AA127" s="44"/>
      <c r="AB127" s="19"/>
      <c r="AC127" s="60"/>
      <c r="AD127" s="19"/>
      <c r="AE127" s="60"/>
      <c r="AF127" s="60"/>
      <c r="AG127" s="19"/>
      <c r="AH127" s="60"/>
      <c r="AI127" s="60"/>
      <c r="AJ127" s="19"/>
      <c r="AK127" s="60"/>
      <c r="AL127" s="60"/>
      <c r="AM127" s="19"/>
      <c r="AN127" s="60"/>
      <c r="AO127" s="60"/>
      <c r="AP127" s="60"/>
      <c r="AQ127" s="60"/>
      <c r="AR127" s="60"/>
      <c r="AS127" s="60"/>
      <c r="AT127" s="60"/>
    </row>
    <row r="128" spans="9:46" x14ac:dyDescent="0.2">
      <c r="I128" s="18"/>
      <c r="J128" s="19"/>
      <c r="K128" s="19"/>
      <c r="L128" s="19"/>
      <c r="M128" s="19"/>
      <c r="N128" s="19"/>
      <c r="O128" s="18"/>
      <c r="Q128" s="19"/>
      <c r="R128" s="19"/>
      <c r="S128" s="44"/>
      <c r="T128" s="19"/>
      <c r="U128" s="60"/>
      <c r="V128" s="19"/>
      <c r="W128" s="60"/>
      <c r="X128" s="19"/>
      <c r="Y128" s="19"/>
      <c r="Z128" s="19"/>
      <c r="AA128" s="44"/>
      <c r="AB128" s="19"/>
      <c r="AC128" s="60"/>
      <c r="AD128" s="19"/>
      <c r="AE128" s="60"/>
      <c r="AF128" s="60"/>
      <c r="AG128" s="19"/>
      <c r="AH128" s="60"/>
      <c r="AI128" s="60"/>
      <c r="AJ128" s="19"/>
      <c r="AK128" s="60"/>
      <c r="AL128" s="60"/>
      <c r="AM128" s="19"/>
      <c r="AN128" s="60"/>
      <c r="AO128" s="60"/>
      <c r="AP128" s="60"/>
      <c r="AQ128" s="60"/>
      <c r="AR128" s="60"/>
      <c r="AS128" s="60"/>
      <c r="AT128" s="60"/>
    </row>
    <row r="129" spans="9:46" x14ac:dyDescent="0.2">
      <c r="I129" s="18"/>
      <c r="J129" s="19"/>
      <c r="K129" s="19"/>
      <c r="L129" s="19"/>
      <c r="M129" s="19"/>
      <c r="N129" s="19"/>
      <c r="O129" s="18"/>
      <c r="Q129" s="19"/>
      <c r="R129" s="19"/>
      <c r="S129" s="44"/>
      <c r="T129" s="19"/>
      <c r="U129" s="60"/>
      <c r="V129" s="19"/>
      <c r="W129" s="60"/>
      <c r="X129" s="19"/>
      <c r="Y129" s="19"/>
      <c r="Z129" s="19"/>
      <c r="AA129" s="44"/>
      <c r="AB129" s="19"/>
      <c r="AC129" s="60"/>
      <c r="AD129" s="19"/>
      <c r="AE129" s="60"/>
      <c r="AF129" s="60"/>
      <c r="AG129" s="19"/>
      <c r="AH129" s="60"/>
      <c r="AI129" s="60"/>
      <c r="AJ129" s="19"/>
      <c r="AK129" s="60"/>
      <c r="AL129" s="60"/>
      <c r="AM129" s="19"/>
      <c r="AN129" s="60"/>
      <c r="AO129" s="60"/>
      <c r="AP129" s="60"/>
      <c r="AQ129" s="60"/>
      <c r="AR129" s="60"/>
      <c r="AS129" s="60"/>
      <c r="AT129" s="60"/>
    </row>
    <row r="130" spans="9:46" x14ac:dyDescent="0.2">
      <c r="I130" s="18"/>
      <c r="J130" s="19"/>
      <c r="K130" s="19"/>
      <c r="L130" s="19"/>
      <c r="M130" s="19"/>
      <c r="N130" s="19"/>
      <c r="O130" s="18"/>
      <c r="Q130" s="19"/>
      <c r="R130" s="19"/>
      <c r="S130" s="44"/>
      <c r="T130" s="19"/>
      <c r="U130" s="60"/>
      <c r="V130" s="19"/>
      <c r="W130" s="60"/>
      <c r="X130" s="19"/>
      <c r="Y130" s="19"/>
      <c r="Z130" s="19"/>
      <c r="AA130" s="44"/>
      <c r="AB130" s="19"/>
      <c r="AC130" s="60"/>
      <c r="AD130" s="19"/>
      <c r="AE130" s="60"/>
      <c r="AF130" s="60"/>
      <c r="AG130" s="19"/>
      <c r="AH130" s="60"/>
      <c r="AI130" s="60"/>
      <c r="AJ130" s="19"/>
      <c r="AK130" s="60"/>
      <c r="AL130" s="60"/>
      <c r="AM130" s="19"/>
      <c r="AN130" s="60"/>
      <c r="AO130" s="60"/>
      <c r="AP130" s="60"/>
      <c r="AQ130" s="60"/>
      <c r="AR130" s="60"/>
      <c r="AS130" s="60"/>
      <c r="AT130" s="60"/>
    </row>
    <row r="131" spans="9:46" x14ac:dyDescent="0.2">
      <c r="I131" s="18"/>
      <c r="J131" s="19"/>
      <c r="K131" s="19"/>
      <c r="L131" s="19"/>
      <c r="M131" s="19"/>
      <c r="N131" s="19"/>
      <c r="O131" s="18"/>
      <c r="Q131" s="19"/>
      <c r="R131" s="19"/>
      <c r="S131" s="44"/>
      <c r="T131" s="19"/>
      <c r="U131" s="60"/>
      <c r="V131" s="19"/>
      <c r="W131" s="60"/>
      <c r="X131" s="19"/>
      <c r="Y131" s="19"/>
      <c r="Z131" s="19"/>
      <c r="AA131" s="44"/>
      <c r="AB131" s="19"/>
      <c r="AC131" s="60"/>
      <c r="AD131" s="19"/>
      <c r="AE131" s="60"/>
      <c r="AF131" s="60"/>
      <c r="AG131" s="19"/>
      <c r="AH131" s="60"/>
      <c r="AI131" s="60"/>
      <c r="AJ131" s="19"/>
      <c r="AK131" s="60"/>
      <c r="AL131" s="60"/>
      <c r="AM131" s="19"/>
      <c r="AN131" s="60"/>
      <c r="AO131" s="60"/>
      <c r="AP131" s="60"/>
      <c r="AQ131" s="60"/>
      <c r="AR131" s="60"/>
      <c r="AS131" s="60"/>
      <c r="AT131" s="60"/>
    </row>
    <row r="132" spans="9:46" x14ac:dyDescent="0.2">
      <c r="I132" s="18"/>
      <c r="J132" s="19"/>
      <c r="K132" s="19"/>
      <c r="L132" s="19"/>
      <c r="M132" s="19"/>
      <c r="N132" s="19"/>
      <c r="O132" s="18"/>
      <c r="Q132" s="19"/>
      <c r="R132" s="19"/>
      <c r="S132" s="44"/>
      <c r="T132" s="19"/>
      <c r="U132" s="60"/>
      <c r="V132" s="19"/>
      <c r="W132" s="60"/>
      <c r="X132" s="19"/>
      <c r="Y132" s="19"/>
      <c r="Z132" s="19"/>
      <c r="AA132" s="44"/>
      <c r="AB132" s="19"/>
      <c r="AC132" s="60"/>
      <c r="AD132" s="19"/>
      <c r="AE132" s="60"/>
      <c r="AF132" s="60"/>
      <c r="AG132" s="19"/>
      <c r="AH132" s="60"/>
      <c r="AI132" s="60"/>
      <c r="AJ132" s="19"/>
      <c r="AK132" s="60"/>
      <c r="AL132" s="60"/>
      <c r="AM132" s="19"/>
      <c r="AN132" s="60"/>
      <c r="AO132" s="60"/>
      <c r="AP132" s="60"/>
      <c r="AQ132" s="60"/>
      <c r="AR132" s="60"/>
      <c r="AS132" s="60"/>
      <c r="AT132" s="60"/>
    </row>
    <row r="133" spans="9:46" x14ac:dyDescent="0.2">
      <c r="I133" s="18"/>
      <c r="J133" s="19"/>
      <c r="K133" s="19"/>
      <c r="L133" s="19"/>
      <c r="M133" s="19"/>
      <c r="N133" s="19"/>
      <c r="O133" s="18"/>
      <c r="Q133" s="19"/>
      <c r="R133" s="19"/>
      <c r="S133" s="44"/>
      <c r="T133" s="19"/>
      <c r="U133" s="60"/>
      <c r="V133" s="19"/>
      <c r="W133" s="60"/>
      <c r="X133" s="19"/>
      <c r="Y133" s="19"/>
      <c r="Z133" s="19"/>
      <c r="AA133" s="44"/>
      <c r="AB133" s="19"/>
      <c r="AC133" s="60"/>
      <c r="AD133" s="19"/>
      <c r="AE133" s="60"/>
      <c r="AF133" s="60"/>
      <c r="AG133" s="19"/>
      <c r="AH133" s="60"/>
      <c r="AI133" s="60"/>
      <c r="AJ133" s="19"/>
      <c r="AK133" s="60"/>
      <c r="AL133" s="60"/>
      <c r="AM133" s="19"/>
      <c r="AN133" s="60"/>
      <c r="AO133" s="60"/>
      <c r="AP133" s="60"/>
      <c r="AQ133" s="60"/>
      <c r="AR133" s="60"/>
      <c r="AS133" s="60"/>
      <c r="AT133" s="60"/>
    </row>
    <row r="134" spans="9:46" x14ac:dyDescent="0.2">
      <c r="I134" s="18"/>
      <c r="J134" s="19"/>
      <c r="K134" s="19"/>
      <c r="L134" s="19"/>
      <c r="M134" s="19"/>
      <c r="N134" s="19"/>
      <c r="O134" s="18"/>
      <c r="Q134" s="19"/>
      <c r="R134" s="19"/>
      <c r="S134" s="44"/>
      <c r="T134" s="19"/>
      <c r="U134" s="60"/>
      <c r="V134" s="19"/>
      <c r="W134" s="60"/>
      <c r="X134" s="19"/>
      <c r="Y134" s="19"/>
      <c r="Z134" s="19"/>
      <c r="AA134" s="44"/>
      <c r="AB134" s="19"/>
      <c r="AC134" s="60"/>
      <c r="AD134" s="19"/>
      <c r="AE134" s="60"/>
      <c r="AF134" s="60"/>
      <c r="AG134" s="19"/>
      <c r="AH134" s="60"/>
      <c r="AI134" s="60"/>
      <c r="AJ134" s="19"/>
      <c r="AK134" s="60"/>
      <c r="AL134" s="60"/>
      <c r="AM134" s="19"/>
      <c r="AN134" s="60"/>
      <c r="AO134" s="60"/>
      <c r="AP134" s="60"/>
      <c r="AQ134" s="60"/>
      <c r="AR134" s="60"/>
      <c r="AS134" s="60"/>
      <c r="AT134" s="60"/>
    </row>
    <row r="135" spans="9:46" x14ac:dyDescent="0.2">
      <c r="I135" s="18"/>
      <c r="J135" s="19"/>
      <c r="K135" s="19"/>
      <c r="L135" s="19"/>
      <c r="M135" s="19"/>
      <c r="N135" s="19"/>
      <c r="O135" s="18"/>
      <c r="Q135" s="19"/>
      <c r="R135" s="19"/>
      <c r="S135" s="44"/>
      <c r="T135" s="19"/>
      <c r="U135" s="60"/>
      <c r="V135" s="19"/>
      <c r="W135" s="60"/>
      <c r="X135" s="19"/>
      <c r="Y135" s="19"/>
      <c r="Z135" s="19"/>
      <c r="AA135" s="44"/>
      <c r="AB135" s="19"/>
      <c r="AC135" s="60"/>
      <c r="AD135" s="19"/>
      <c r="AE135" s="60"/>
      <c r="AF135" s="60"/>
      <c r="AG135" s="19"/>
      <c r="AH135" s="60"/>
      <c r="AI135" s="60"/>
      <c r="AJ135" s="19"/>
      <c r="AK135" s="60"/>
      <c r="AL135" s="60"/>
      <c r="AM135" s="19"/>
      <c r="AN135" s="60"/>
      <c r="AO135" s="60"/>
      <c r="AP135" s="60"/>
      <c r="AQ135" s="60"/>
      <c r="AR135" s="60"/>
      <c r="AS135" s="60"/>
      <c r="AT135" s="60"/>
    </row>
    <row r="136" spans="9:46" x14ac:dyDescent="0.2">
      <c r="I136" s="18"/>
      <c r="J136" s="19"/>
      <c r="K136" s="19"/>
      <c r="L136" s="19"/>
      <c r="M136" s="19"/>
      <c r="N136" s="19"/>
      <c r="O136" s="18"/>
      <c r="Q136" s="19"/>
      <c r="R136" s="19"/>
      <c r="S136" s="44"/>
      <c r="T136" s="19"/>
      <c r="U136" s="60"/>
      <c r="V136" s="19"/>
      <c r="W136" s="60"/>
      <c r="X136" s="19"/>
      <c r="Y136" s="19"/>
      <c r="Z136" s="19"/>
      <c r="AA136" s="44"/>
      <c r="AB136" s="19"/>
      <c r="AC136" s="60"/>
      <c r="AD136" s="19"/>
      <c r="AE136" s="60"/>
      <c r="AF136" s="60"/>
      <c r="AG136" s="19"/>
      <c r="AH136" s="60"/>
      <c r="AI136" s="60"/>
      <c r="AJ136" s="19"/>
      <c r="AK136" s="60"/>
      <c r="AL136" s="60"/>
      <c r="AM136" s="19"/>
      <c r="AN136" s="60"/>
      <c r="AO136" s="60"/>
      <c r="AP136" s="60"/>
      <c r="AQ136" s="60"/>
      <c r="AR136" s="60"/>
      <c r="AS136" s="60"/>
      <c r="AT136" s="60"/>
    </row>
    <row r="137" spans="9:46" x14ac:dyDescent="0.2">
      <c r="I137" s="18"/>
      <c r="J137" s="19"/>
      <c r="K137" s="19"/>
      <c r="L137" s="19"/>
      <c r="M137" s="19"/>
      <c r="N137" s="19"/>
      <c r="O137" s="18"/>
      <c r="Q137" s="19"/>
      <c r="R137" s="19"/>
      <c r="S137" s="44"/>
      <c r="T137" s="19"/>
      <c r="U137" s="60"/>
      <c r="V137" s="19"/>
      <c r="W137" s="60"/>
      <c r="X137" s="19"/>
      <c r="Y137" s="19"/>
      <c r="Z137" s="19"/>
      <c r="AA137" s="44"/>
      <c r="AB137" s="19"/>
      <c r="AC137" s="60"/>
      <c r="AD137" s="19"/>
      <c r="AE137" s="60"/>
      <c r="AF137" s="60"/>
      <c r="AG137" s="19"/>
      <c r="AH137" s="60"/>
      <c r="AI137" s="60"/>
      <c r="AJ137" s="19"/>
      <c r="AK137" s="60"/>
      <c r="AL137" s="60"/>
      <c r="AM137" s="19"/>
      <c r="AN137" s="60"/>
      <c r="AO137" s="60"/>
      <c r="AP137" s="60"/>
      <c r="AQ137" s="60"/>
      <c r="AR137" s="60"/>
      <c r="AS137" s="60"/>
      <c r="AT137" s="60"/>
    </row>
    <row r="138" spans="9:46" x14ac:dyDescent="0.2">
      <c r="I138" s="18"/>
      <c r="J138" s="19"/>
      <c r="K138" s="19"/>
      <c r="L138" s="19"/>
      <c r="M138" s="19"/>
      <c r="N138" s="19"/>
      <c r="O138" s="18"/>
      <c r="Q138" s="19"/>
      <c r="R138" s="19"/>
      <c r="S138" s="44"/>
      <c r="T138" s="19"/>
      <c r="U138" s="60"/>
      <c r="V138" s="19"/>
      <c r="W138" s="60"/>
      <c r="X138" s="19"/>
      <c r="Y138" s="19"/>
      <c r="Z138" s="19"/>
      <c r="AA138" s="44"/>
      <c r="AB138" s="19"/>
      <c r="AC138" s="60"/>
      <c r="AD138" s="19"/>
      <c r="AE138" s="60"/>
      <c r="AF138" s="60"/>
      <c r="AG138" s="19"/>
      <c r="AH138" s="60"/>
      <c r="AI138" s="60"/>
      <c r="AJ138" s="19"/>
      <c r="AK138" s="60"/>
      <c r="AL138" s="60"/>
      <c r="AM138" s="19"/>
      <c r="AN138" s="60"/>
      <c r="AO138" s="60"/>
      <c r="AP138" s="60"/>
      <c r="AQ138" s="60"/>
      <c r="AR138" s="60"/>
      <c r="AS138" s="60"/>
      <c r="AT138" s="60"/>
    </row>
    <row r="139" spans="9:46" x14ac:dyDescent="0.2">
      <c r="I139" s="18"/>
      <c r="J139" s="19"/>
      <c r="K139" s="19"/>
      <c r="L139" s="19"/>
      <c r="M139" s="19"/>
      <c r="N139" s="19"/>
      <c r="O139" s="18"/>
      <c r="Q139" s="19"/>
      <c r="R139" s="19"/>
      <c r="S139" s="44"/>
      <c r="T139" s="19"/>
      <c r="U139" s="60"/>
      <c r="V139" s="19"/>
      <c r="W139" s="60"/>
      <c r="X139" s="19"/>
      <c r="Y139" s="19"/>
      <c r="Z139" s="19"/>
      <c r="AA139" s="44"/>
      <c r="AB139" s="19"/>
      <c r="AC139" s="60"/>
      <c r="AD139" s="19"/>
      <c r="AE139" s="60"/>
      <c r="AF139" s="60"/>
      <c r="AG139" s="19"/>
      <c r="AH139" s="60"/>
      <c r="AI139" s="60"/>
      <c r="AJ139" s="19"/>
      <c r="AK139" s="60"/>
      <c r="AL139" s="60"/>
      <c r="AM139" s="19"/>
      <c r="AN139" s="60"/>
      <c r="AO139" s="60"/>
      <c r="AP139" s="60"/>
      <c r="AQ139" s="60"/>
      <c r="AR139" s="60"/>
      <c r="AS139" s="60"/>
      <c r="AT139" s="60"/>
    </row>
    <row r="140" spans="9:46" x14ac:dyDescent="0.2">
      <c r="I140" s="18"/>
      <c r="J140" s="19"/>
      <c r="K140" s="19"/>
      <c r="L140" s="19"/>
      <c r="M140" s="19"/>
      <c r="N140" s="19"/>
      <c r="O140" s="18"/>
      <c r="Q140" s="19"/>
      <c r="R140" s="19"/>
      <c r="S140" s="44"/>
      <c r="T140" s="19"/>
      <c r="U140" s="60"/>
      <c r="V140" s="19"/>
      <c r="W140" s="60"/>
      <c r="X140" s="19"/>
      <c r="Y140" s="19"/>
      <c r="Z140" s="19"/>
      <c r="AA140" s="44"/>
      <c r="AB140" s="19"/>
      <c r="AC140" s="60"/>
      <c r="AD140" s="19"/>
      <c r="AE140" s="60"/>
      <c r="AF140" s="60"/>
      <c r="AG140" s="19"/>
      <c r="AH140" s="60"/>
      <c r="AI140" s="60"/>
      <c r="AJ140" s="19"/>
      <c r="AK140" s="60"/>
      <c r="AL140" s="60"/>
      <c r="AM140" s="19"/>
      <c r="AN140" s="60"/>
      <c r="AO140" s="60"/>
      <c r="AP140" s="60"/>
      <c r="AQ140" s="60"/>
      <c r="AR140" s="60"/>
      <c r="AS140" s="60"/>
      <c r="AT140" s="60"/>
    </row>
    <row r="141" spans="9:46" x14ac:dyDescent="0.2">
      <c r="I141" s="18"/>
      <c r="J141" s="19"/>
      <c r="K141" s="19"/>
      <c r="L141" s="19"/>
      <c r="M141" s="19"/>
      <c r="N141" s="19"/>
      <c r="O141" s="18"/>
      <c r="Q141" s="19"/>
      <c r="R141" s="19"/>
      <c r="S141" s="44"/>
      <c r="T141" s="19"/>
      <c r="U141" s="60"/>
      <c r="V141" s="19"/>
      <c r="W141" s="60"/>
      <c r="X141" s="19"/>
      <c r="Y141" s="19"/>
      <c r="Z141" s="19"/>
      <c r="AA141" s="44"/>
      <c r="AB141" s="19"/>
      <c r="AC141" s="60"/>
      <c r="AD141" s="19"/>
      <c r="AE141" s="60"/>
      <c r="AF141" s="60"/>
      <c r="AG141" s="19"/>
      <c r="AH141" s="60"/>
      <c r="AI141" s="60"/>
      <c r="AJ141" s="19"/>
      <c r="AK141" s="60"/>
      <c r="AL141" s="60"/>
      <c r="AM141" s="19"/>
      <c r="AN141" s="60"/>
      <c r="AO141" s="60"/>
      <c r="AP141" s="60"/>
      <c r="AQ141" s="60"/>
      <c r="AR141" s="60"/>
      <c r="AS141" s="60"/>
      <c r="AT141" s="60"/>
    </row>
    <row r="142" spans="9:46" x14ac:dyDescent="0.2">
      <c r="I142" s="18"/>
      <c r="J142" s="19"/>
      <c r="K142" s="19"/>
      <c r="L142" s="19"/>
      <c r="M142" s="19"/>
      <c r="N142" s="19"/>
      <c r="O142" s="18"/>
      <c r="Q142" s="19"/>
      <c r="R142" s="19"/>
      <c r="S142" s="44"/>
      <c r="T142" s="19"/>
      <c r="U142" s="60"/>
      <c r="V142" s="19"/>
      <c r="W142" s="60"/>
      <c r="X142" s="19"/>
      <c r="Y142" s="19"/>
      <c r="Z142" s="19"/>
      <c r="AA142" s="44"/>
      <c r="AB142" s="19"/>
      <c r="AC142" s="60"/>
      <c r="AD142" s="19"/>
      <c r="AE142" s="60"/>
      <c r="AF142" s="60"/>
      <c r="AG142" s="19"/>
      <c r="AH142" s="60"/>
      <c r="AI142" s="60"/>
      <c r="AJ142" s="19"/>
      <c r="AK142" s="60"/>
      <c r="AL142" s="60"/>
      <c r="AM142" s="19"/>
      <c r="AN142" s="60"/>
      <c r="AO142" s="60"/>
      <c r="AP142" s="60"/>
      <c r="AQ142" s="60"/>
      <c r="AR142" s="60"/>
      <c r="AS142" s="60"/>
      <c r="AT142" s="60"/>
    </row>
    <row r="143" spans="9:46" x14ac:dyDescent="0.2">
      <c r="I143" s="18"/>
      <c r="J143" s="19"/>
      <c r="K143" s="19"/>
      <c r="L143" s="19"/>
      <c r="M143" s="19"/>
      <c r="N143" s="19"/>
      <c r="O143" s="18"/>
      <c r="Q143" s="19"/>
      <c r="R143" s="19"/>
      <c r="S143" s="44"/>
      <c r="T143" s="19"/>
      <c r="U143" s="60"/>
      <c r="V143" s="19"/>
      <c r="W143" s="60"/>
      <c r="X143" s="19"/>
      <c r="Y143" s="19"/>
      <c r="Z143" s="19"/>
      <c r="AA143" s="44"/>
      <c r="AB143" s="19"/>
      <c r="AC143" s="60"/>
      <c r="AD143" s="19"/>
      <c r="AE143" s="60"/>
      <c r="AF143" s="60"/>
      <c r="AG143" s="19"/>
      <c r="AH143" s="60"/>
      <c r="AI143" s="60"/>
      <c r="AJ143" s="19"/>
      <c r="AK143" s="60"/>
      <c r="AL143" s="60"/>
      <c r="AM143" s="19"/>
      <c r="AN143" s="60"/>
      <c r="AO143" s="60"/>
      <c r="AP143" s="60"/>
      <c r="AQ143" s="60"/>
      <c r="AR143" s="60"/>
      <c r="AS143" s="60"/>
      <c r="AT143" s="60"/>
    </row>
    <row r="144" spans="9:46" x14ac:dyDescent="0.2">
      <c r="I144" s="18"/>
      <c r="J144" s="19"/>
      <c r="K144" s="19"/>
      <c r="L144" s="19"/>
      <c r="M144" s="19"/>
      <c r="N144" s="19"/>
      <c r="O144" s="18"/>
      <c r="Q144" s="19"/>
      <c r="R144" s="19"/>
      <c r="S144" s="44"/>
      <c r="T144" s="19"/>
      <c r="U144" s="60"/>
      <c r="V144" s="19"/>
      <c r="W144" s="60"/>
      <c r="X144" s="19"/>
      <c r="Y144" s="19"/>
      <c r="Z144" s="19"/>
      <c r="AA144" s="44"/>
      <c r="AB144" s="19"/>
      <c r="AC144" s="60"/>
      <c r="AD144" s="19"/>
      <c r="AE144" s="60"/>
      <c r="AF144" s="60"/>
      <c r="AG144" s="19"/>
      <c r="AH144" s="60"/>
      <c r="AI144" s="60"/>
      <c r="AJ144" s="19"/>
      <c r="AK144" s="60"/>
      <c r="AL144" s="60"/>
      <c r="AM144" s="19"/>
      <c r="AN144" s="60"/>
      <c r="AO144" s="60"/>
      <c r="AP144" s="60"/>
      <c r="AQ144" s="60"/>
      <c r="AR144" s="60"/>
      <c r="AS144" s="60"/>
      <c r="AT144" s="60"/>
    </row>
    <row r="145" spans="9:46" x14ac:dyDescent="0.2">
      <c r="I145" s="18"/>
      <c r="J145" s="19"/>
      <c r="K145" s="19"/>
      <c r="L145" s="19"/>
      <c r="M145" s="19"/>
      <c r="N145" s="19"/>
      <c r="O145" s="18"/>
      <c r="Q145" s="19"/>
      <c r="R145" s="19"/>
      <c r="S145" s="44"/>
      <c r="T145" s="19"/>
      <c r="U145" s="60"/>
      <c r="V145" s="19"/>
      <c r="W145" s="60"/>
      <c r="X145" s="19"/>
      <c r="Y145" s="19"/>
      <c r="Z145" s="19"/>
      <c r="AA145" s="44"/>
      <c r="AB145" s="19"/>
      <c r="AC145" s="60"/>
      <c r="AD145" s="19"/>
      <c r="AE145" s="60"/>
      <c r="AF145" s="60"/>
      <c r="AG145" s="19"/>
      <c r="AH145" s="60"/>
      <c r="AI145" s="60"/>
      <c r="AJ145" s="19"/>
      <c r="AK145" s="60"/>
      <c r="AL145" s="60"/>
      <c r="AM145" s="19"/>
      <c r="AN145" s="60"/>
      <c r="AO145" s="60"/>
      <c r="AP145" s="60"/>
      <c r="AQ145" s="60"/>
      <c r="AR145" s="60"/>
      <c r="AS145" s="60"/>
      <c r="AT145" s="60"/>
    </row>
    <row r="146" spans="9:46" x14ac:dyDescent="0.2">
      <c r="I146" s="18"/>
      <c r="J146" s="19"/>
      <c r="K146" s="19"/>
      <c r="L146" s="19"/>
      <c r="M146" s="19"/>
      <c r="N146" s="19"/>
      <c r="O146" s="18"/>
      <c r="Q146" s="19"/>
      <c r="R146" s="19"/>
      <c r="S146" s="44"/>
      <c r="T146" s="19"/>
      <c r="U146" s="60"/>
      <c r="V146" s="19"/>
      <c r="W146" s="60"/>
      <c r="X146" s="19"/>
      <c r="Y146" s="19"/>
      <c r="Z146" s="19"/>
      <c r="AA146" s="44"/>
      <c r="AB146" s="19"/>
      <c r="AC146" s="60"/>
      <c r="AD146" s="19"/>
      <c r="AE146" s="60"/>
      <c r="AF146" s="60"/>
      <c r="AG146" s="19"/>
      <c r="AH146" s="60"/>
      <c r="AI146" s="60"/>
      <c r="AJ146" s="19"/>
      <c r="AK146" s="60"/>
      <c r="AL146" s="60"/>
      <c r="AM146" s="19"/>
      <c r="AN146" s="60"/>
      <c r="AO146" s="60"/>
      <c r="AP146" s="60"/>
      <c r="AQ146" s="60"/>
      <c r="AR146" s="60"/>
      <c r="AS146" s="60"/>
      <c r="AT146" s="60"/>
    </row>
    <row r="147" spans="9:46" x14ac:dyDescent="0.2">
      <c r="I147" s="18"/>
      <c r="J147" s="19"/>
      <c r="K147" s="19"/>
      <c r="L147" s="19"/>
      <c r="M147" s="19"/>
      <c r="N147" s="19"/>
      <c r="O147" s="18"/>
      <c r="Q147" s="19"/>
      <c r="R147" s="19"/>
      <c r="S147" s="44"/>
      <c r="T147" s="19"/>
      <c r="U147" s="60"/>
      <c r="V147" s="19"/>
      <c r="W147" s="60"/>
      <c r="X147" s="19"/>
      <c r="Y147" s="19"/>
      <c r="Z147" s="19"/>
      <c r="AA147" s="44"/>
      <c r="AB147" s="19"/>
      <c r="AC147" s="60"/>
      <c r="AD147" s="19"/>
      <c r="AE147" s="60"/>
      <c r="AF147" s="60"/>
      <c r="AG147" s="19"/>
      <c r="AH147" s="60"/>
      <c r="AI147" s="60"/>
      <c r="AJ147" s="19"/>
      <c r="AK147" s="60"/>
      <c r="AL147" s="60"/>
      <c r="AM147" s="19"/>
      <c r="AN147" s="60"/>
      <c r="AO147" s="60"/>
      <c r="AP147" s="60"/>
      <c r="AQ147" s="60"/>
      <c r="AR147" s="60"/>
      <c r="AS147" s="60"/>
      <c r="AT147" s="60"/>
    </row>
    <row r="148" spans="9:46" x14ac:dyDescent="0.2">
      <c r="I148" s="18"/>
      <c r="J148" s="19"/>
      <c r="K148" s="19"/>
      <c r="L148" s="19"/>
      <c r="M148" s="19"/>
      <c r="N148" s="19"/>
      <c r="O148" s="18"/>
      <c r="Q148" s="19"/>
      <c r="R148" s="19"/>
      <c r="S148" s="44"/>
      <c r="T148" s="19"/>
      <c r="U148" s="60"/>
      <c r="V148" s="19"/>
      <c r="W148" s="60"/>
      <c r="X148" s="19"/>
      <c r="Y148" s="19"/>
      <c r="Z148" s="19"/>
      <c r="AA148" s="44"/>
      <c r="AB148" s="19"/>
      <c r="AC148" s="60"/>
      <c r="AD148" s="19"/>
      <c r="AE148" s="60"/>
      <c r="AF148" s="60"/>
      <c r="AG148" s="19"/>
      <c r="AH148" s="60"/>
      <c r="AI148" s="60"/>
      <c r="AJ148" s="19"/>
      <c r="AK148" s="60"/>
      <c r="AL148" s="60"/>
      <c r="AM148" s="19"/>
      <c r="AN148" s="60"/>
      <c r="AO148" s="60"/>
      <c r="AP148" s="60"/>
      <c r="AQ148" s="60"/>
      <c r="AR148" s="60"/>
      <c r="AS148" s="60"/>
      <c r="AT148" s="60"/>
    </row>
    <row r="149" spans="9:46" x14ac:dyDescent="0.2">
      <c r="I149" s="18"/>
      <c r="J149" s="19"/>
      <c r="K149" s="19"/>
      <c r="L149" s="19"/>
      <c r="M149" s="19"/>
      <c r="N149" s="19"/>
      <c r="O149" s="18"/>
      <c r="Q149" s="19"/>
      <c r="R149" s="19"/>
      <c r="S149" s="44"/>
      <c r="T149" s="19"/>
      <c r="U149" s="60"/>
      <c r="V149" s="19"/>
      <c r="W149" s="60"/>
      <c r="X149" s="19"/>
      <c r="Y149" s="19"/>
      <c r="Z149" s="19"/>
      <c r="AA149" s="44"/>
      <c r="AB149" s="19"/>
      <c r="AC149" s="60"/>
      <c r="AD149" s="19"/>
      <c r="AE149" s="60"/>
      <c r="AF149" s="60"/>
      <c r="AG149" s="19"/>
      <c r="AH149" s="60"/>
      <c r="AI149" s="60"/>
      <c r="AJ149" s="19"/>
      <c r="AK149" s="60"/>
      <c r="AL149" s="60"/>
      <c r="AM149" s="19"/>
      <c r="AN149" s="60"/>
      <c r="AO149" s="60"/>
      <c r="AP149" s="60"/>
      <c r="AQ149" s="60"/>
      <c r="AR149" s="60"/>
      <c r="AS149" s="60"/>
      <c r="AT149" s="60"/>
    </row>
    <row r="150" spans="9:46" x14ac:dyDescent="0.2">
      <c r="I150" s="18"/>
      <c r="J150" s="19"/>
      <c r="K150" s="19"/>
      <c r="L150" s="19"/>
      <c r="M150" s="19"/>
      <c r="N150" s="19"/>
      <c r="O150" s="18"/>
      <c r="Q150" s="19"/>
      <c r="R150" s="19"/>
      <c r="S150" s="44"/>
      <c r="T150" s="19"/>
      <c r="U150" s="60"/>
      <c r="V150" s="19"/>
      <c r="W150" s="60"/>
      <c r="X150" s="19"/>
      <c r="Y150" s="19"/>
      <c r="Z150" s="19"/>
      <c r="AA150" s="44"/>
      <c r="AB150" s="19"/>
      <c r="AC150" s="60"/>
      <c r="AD150" s="19"/>
      <c r="AE150" s="60"/>
      <c r="AF150" s="60"/>
      <c r="AG150" s="19"/>
      <c r="AH150" s="60"/>
      <c r="AI150" s="60"/>
      <c r="AJ150" s="19"/>
      <c r="AK150" s="60"/>
      <c r="AL150" s="60"/>
      <c r="AM150" s="19"/>
      <c r="AN150" s="60"/>
      <c r="AO150" s="60"/>
      <c r="AP150" s="60"/>
      <c r="AQ150" s="60"/>
      <c r="AR150" s="60"/>
      <c r="AS150" s="60"/>
      <c r="AT150" s="60"/>
    </row>
    <row r="151" spans="9:46" x14ac:dyDescent="0.2">
      <c r="I151" s="18"/>
      <c r="J151" s="19"/>
      <c r="K151" s="19"/>
      <c r="L151" s="19"/>
      <c r="M151" s="19"/>
      <c r="N151" s="19"/>
      <c r="O151" s="18"/>
      <c r="Q151" s="19"/>
      <c r="R151" s="19"/>
      <c r="S151" s="44"/>
      <c r="T151" s="19"/>
      <c r="U151" s="60"/>
      <c r="V151" s="19"/>
      <c r="W151" s="60"/>
      <c r="X151" s="19"/>
      <c r="Y151" s="19"/>
      <c r="Z151" s="19"/>
      <c r="AA151" s="44"/>
      <c r="AB151" s="19"/>
      <c r="AC151" s="60"/>
      <c r="AD151" s="19"/>
      <c r="AE151" s="60"/>
      <c r="AF151" s="60"/>
      <c r="AG151" s="19"/>
      <c r="AH151" s="60"/>
      <c r="AI151" s="60"/>
      <c r="AJ151" s="19"/>
      <c r="AK151" s="60"/>
      <c r="AL151" s="60"/>
      <c r="AM151" s="19"/>
      <c r="AN151" s="60"/>
      <c r="AO151" s="60"/>
      <c r="AP151" s="60"/>
      <c r="AQ151" s="60"/>
      <c r="AR151" s="60"/>
      <c r="AS151" s="60"/>
      <c r="AT151" s="60"/>
    </row>
    <row r="152" spans="9:46" x14ac:dyDescent="0.2">
      <c r="I152" s="18"/>
      <c r="J152" s="19"/>
      <c r="K152" s="19"/>
      <c r="L152" s="19"/>
      <c r="M152" s="19"/>
      <c r="N152" s="19"/>
      <c r="O152" s="18"/>
      <c r="Q152" s="19"/>
      <c r="R152" s="19"/>
      <c r="S152" s="44"/>
      <c r="T152" s="19"/>
      <c r="U152" s="60"/>
      <c r="V152" s="19"/>
      <c r="W152" s="60"/>
      <c r="X152" s="19"/>
      <c r="Y152" s="19"/>
      <c r="Z152" s="19"/>
      <c r="AA152" s="44"/>
      <c r="AB152" s="19"/>
      <c r="AC152" s="60"/>
      <c r="AD152" s="19"/>
      <c r="AE152" s="60"/>
      <c r="AF152" s="60"/>
      <c r="AG152" s="19"/>
      <c r="AH152" s="60"/>
      <c r="AI152" s="60"/>
      <c r="AJ152" s="19"/>
      <c r="AK152" s="60"/>
      <c r="AL152" s="60"/>
      <c r="AM152" s="19"/>
      <c r="AN152" s="60"/>
      <c r="AO152" s="60"/>
      <c r="AP152" s="60"/>
      <c r="AQ152" s="60"/>
      <c r="AR152" s="60"/>
      <c r="AS152" s="60"/>
      <c r="AT152" s="60"/>
    </row>
    <row r="153" spans="9:46" x14ac:dyDescent="0.2">
      <c r="I153" s="18"/>
      <c r="J153" s="19"/>
      <c r="K153" s="19"/>
      <c r="L153" s="19"/>
      <c r="M153" s="19"/>
      <c r="N153" s="19"/>
      <c r="O153" s="18"/>
      <c r="Q153" s="19"/>
      <c r="R153" s="19"/>
      <c r="S153" s="44"/>
      <c r="T153" s="19"/>
      <c r="U153" s="60"/>
      <c r="V153" s="19"/>
      <c r="W153" s="60"/>
      <c r="X153" s="19"/>
      <c r="Y153" s="19"/>
      <c r="Z153" s="19"/>
      <c r="AA153" s="44"/>
      <c r="AB153" s="19"/>
      <c r="AC153" s="60"/>
      <c r="AD153" s="19"/>
      <c r="AE153" s="60"/>
      <c r="AF153" s="60"/>
      <c r="AG153" s="19"/>
      <c r="AH153" s="60"/>
      <c r="AI153" s="60"/>
      <c r="AJ153" s="19"/>
      <c r="AK153" s="60"/>
      <c r="AL153" s="60"/>
      <c r="AM153" s="19"/>
      <c r="AN153" s="60"/>
      <c r="AO153" s="60"/>
      <c r="AP153" s="60"/>
      <c r="AQ153" s="60"/>
      <c r="AR153" s="60"/>
      <c r="AS153" s="60"/>
      <c r="AT153" s="60"/>
    </row>
    <row r="154" spans="9:46" x14ac:dyDescent="0.2">
      <c r="I154" s="18"/>
      <c r="J154" s="19"/>
      <c r="K154" s="19"/>
      <c r="L154" s="19"/>
      <c r="M154" s="19"/>
      <c r="N154" s="19"/>
      <c r="O154" s="18"/>
      <c r="Q154" s="19"/>
      <c r="R154" s="19"/>
      <c r="S154" s="44"/>
      <c r="T154" s="19"/>
      <c r="U154" s="60"/>
      <c r="V154" s="19"/>
      <c r="W154" s="60"/>
      <c r="X154" s="19"/>
      <c r="Y154" s="19"/>
      <c r="Z154" s="19"/>
      <c r="AA154" s="44"/>
      <c r="AB154" s="19"/>
      <c r="AC154" s="60"/>
      <c r="AD154" s="19"/>
      <c r="AE154" s="60"/>
      <c r="AF154" s="60"/>
      <c r="AG154" s="19"/>
      <c r="AH154" s="60"/>
      <c r="AI154" s="60"/>
      <c r="AJ154" s="19"/>
      <c r="AK154" s="60"/>
      <c r="AL154" s="60"/>
      <c r="AM154" s="19"/>
      <c r="AN154" s="60"/>
      <c r="AO154" s="60"/>
      <c r="AP154" s="60"/>
      <c r="AQ154" s="60"/>
      <c r="AR154" s="60"/>
      <c r="AS154" s="60"/>
      <c r="AT154" s="60"/>
    </row>
    <row r="155" spans="9:46" x14ac:dyDescent="0.2">
      <c r="I155" s="18"/>
      <c r="J155" s="19"/>
      <c r="K155" s="19"/>
      <c r="L155" s="19"/>
      <c r="M155" s="19"/>
      <c r="N155" s="19"/>
      <c r="O155" s="18"/>
      <c r="Q155" s="19"/>
      <c r="R155" s="19"/>
      <c r="S155" s="44"/>
      <c r="T155" s="19"/>
      <c r="U155" s="60"/>
      <c r="V155" s="19"/>
      <c r="W155" s="60"/>
      <c r="X155" s="19"/>
      <c r="Y155" s="19"/>
      <c r="Z155" s="19"/>
      <c r="AA155" s="44"/>
      <c r="AB155" s="19"/>
      <c r="AC155" s="60"/>
      <c r="AD155" s="19"/>
      <c r="AE155" s="60"/>
      <c r="AF155" s="60"/>
      <c r="AG155" s="19"/>
      <c r="AH155" s="60"/>
      <c r="AI155" s="60"/>
      <c r="AJ155" s="19"/>
      <c r="AK155" s="60"/>
      <c r="AL155" s="60"/>
      <c r="AM155" s="19"/>
      <c r="AN155" s="60"/>
      <c r="AO155" s="60"/>
      <c r="AP155" s="60"/>
      <c r="AQ155" s="60"/>
      <c r="AR155" s="60"/>
      <c r="AS155" s="60"/>
      <c r="AT155" s="60"/>
    </row>
    <row r="156" spans="9:46" x14ac:dyDescent="0.2">
      <c r="I156" s="18"/>
      <c r="J156" s="19"/>
      <c r="K156" s="19"/>
      <c r="L156" s="19"/>
      <c r="M156" s="19"/>
      <c r="N156" s="19"/>
      <c r="O156" s="18"/>
      <c r="Q156" s="19"/>
      <c r="R156" s="19"/>
      <c r="S156" s="44"/>
      <c r="T156" s="19"/>
      <c r="U156" s="60"/>
      <c r="V156" s="19"/>
      <c r="W156" s="60"/>
      <c r="X156" s="19"/>
      <c r="Y156" s="19"/>
      <c r="Z156" s="19"/>
      <c r="AA156" s="44"/>
      <c r="AB156" s="19"/>
      <c r="AC156" s="60"/>
      <c r="AD156" s="19"/>
      <c r="AE156" s="60"/>
      <c r="AF156" s="60"/>
      <c r="AG156" s="19"/>
      <c r="AH156" s="60"/>
      <c r="AI156" s="60"/>
      <c r="AJ156" s="19"/>
      <c r="AK156" s="60"/>
      <c r="AL156" s="60"/>
      <c r="AM156" s="19"/>
      <c r="AN156" s="60"/>
      <c r="AO156" s="60"/>
      <c r="AP156" s="60"/>
      <c r="AQ156" s="60"/>
      <c r="AR156" s="60"/>
      <c r="AS156" s="60"/>
      <c r="AT156" s="60"/>
    </row>
    <row r="157" spans="9:46" x14ac:dyDescent="0.2">
      <c r="I157" s="18"/>
      <c r="J157" s="19"/>
      <c r="K157" s="19"/>
      <c r="L157" s="19"/>
      <c r="M157" s="19"/>
      <c r="N157" s="19"/>
      <c r="O157" s="18"/>
      <c r="Q157" s="19"/>
      <c r="R157" s="19"/>
      <c r="S157" s="44"/>
      <c r="T157" s="19"/>
      <c r="U157" s="60"/>
      <c r="V157" s="19"/>
      <c r="W157" s="60"/>
      <c r="X157" s="19"/>
      <c r="Y157" s="19"/>
      <c r="Z157" s="19"/>
      <c r="AA157" s="44"/>
      <c r="AB157" s="19"/>
      <c r="AC157" s="60"/>
      <c r="AD157" s="19"/>
      <c r="AE157" s="60"/>
      <c r="AF157" s="60"/>
      <c r="AG157" s="19"/>
      <c r="AH157" s="60"/>
      <c r="AI157" s="60"/>
      <c r="AJ157" s="19"/>
      <c r="AK157" s="60"/>
      <c r="AL157" s="60"/>
      <c r="AM157" s="19"/>
      <c r="AN157" s="60"/>
      <c r="AO157" s="60"/>
      <c r="AP157" s="60"/>
      <c r="AQ157" s="60"/>
      <c r="AR157" s="60"/>
      <c r="AS157" s="60"/>
      <c r="AT157" s="60"/>
    </row>
    <row r="158" spans="9:46" x14ac:dyDescent="0.2">
      <c r="I158" s="18"/>
      <c r="J158" s="19"/>
      <c r="K158" s="19"/>
      <c r="L158" s="19"/>
      <c r="M158" s="19"/>
      <c r="N158" s="19"/>
      <c r="O158" s="18"/>
      <c r="Q158" s="19"/>
      <c r="R158" s="19"/>
      <c r="S158" s="44"/>
      <c r="T158" s="19"/>
      <c r="U158" s="60"/>
      <c r="V158" s="19"/>
      <c r="W158" s="60"/>
      <c r="X158" s="19"/>
      <c r="Y158" s="19"/>
      <c r="Z158" s="19"/>
      <c r="AA158" s="44"/>
      <c r="AB158" s="19"/>
      <c r="AC158" s="60"/>
      <c r="AD158" s="19"/>
      <c r="AE158" s="60"/>
      <c r="AF158" s="60"/>
      <c r="AG158" s="19"/>
      <c r="AH158" s="60"/>
      <c r="AI158" s="60"/>
      <c r="AJ158" s="19"/>
      <c r="AK158" s="60"/>
      <c r="AL158" s="60"/>
      <c r="AM158" s="19"/>
      <c r="AN158" s="60"/>
      <c r="AO158" s="60"/>
      <c r="AP158" s="60"/>
      <c r="AQ158" s="60"/>
      <c r="AR158" s="60"/>
      <c r="AS158" s="60"/>
      <c r="AT158" s="60"/>
    </row>
    <row r="159" spans="9:46" x14ac:dyDescent="0.2">
      <c r="I159" s="18"/>
      <c r="J159" s="19"/>
      <c r="K159" s="19"/>
      <c r="L159" s="19"/>
      <c r="M159" s="19"/>
      <c r="N159" s="19"/>
      <c r="O159" s="18"/>
      <c r="Q159" s="19"/>
      <c r="R159" s="19"/>
      <c r="S159" s="44"/>
      <c r="T159" s="19"/>
      <c r="U159" s="60"/>
      <c r="V159" s="19"/>
      <c r="W159" s="60"/>
      <c r="X159" s="19"/>
      <c r="Y159" s="19"/>
      <c r="Z159" s="19"/>
      <c r="AA159" s="44"/>
      <c r="AB159" s="19"/>
      <c r="AC159" s="60"/>
      <c r="AD159" s="19"/>
      <c r="AE159" s="60"/>
      <c r="AF159" s="60"/>
      <c r="AG159" s="19"/>
      <c r="AH159" s="60"/>
      <c r="AI159" s="60"/>
      <c r="AJ159" s="19"/>
      <c r="AK159" s="60"/>
      <c r="AL159" s="60"/>
      <c r="AM159" s="19"/>
      <c r="AN159" s="60"/>
      <c r="AO159" s="60"/>
      <c r="AP159" s="60"/>
      <c r="AQ159" s="60"/>
      <c r="AR159" s="60"/>
      <c r="AS159" s="60"/>
      <c r="AT159" s="60"/>
    </row>
    <row r="160" spans="9:46" x14ac:dyDescent="0.2">
      <c r="I160" s="18"/>
      <c r="J160" s="19"/>
      <c r="K160" s="19"/>
      <c r="L160" s="19"/>
      <c r="M160" s="19"/>
      <c r="N160" s="19"/>
      <c r="O160" s="18"/>
      <c r="Q160" s="19"/>
      <c r="R160" s="19"/>
      <c r="S160" s="44"/>
      <c r="T160" s="19"/>
      <c r="U160" s="60"/>
      <c r="V160" s="19"/>
      <c r="W160" s="60"/>
      <c r="X160" s="19"/>
      <c r="Y160" s="19"/>
      <c r="Z160" s="19"/>
      <c r="AA160" s="44"/>
      <c r="AB160" s="19"/>
      <c r="AC160" s="60"/>
      <c r="AD160" s="19"/>
      <c r="AE160" s="60"/>
      <c r="AF160" s="60"/>
      <c r="AG160" s="19"/>
      <c r="AH160" s="60"/>
      <c r="AI160" s="60"/>
      <c r="AJ160" s="19"/>
      <c r="AK160" s="60"/>
      <c r="AL160" s="60"/>
      <c r="AM160" s="19"/>
      <c r="AN160" s="60"/>
      <c r="AO160" s="60"/>
      <c r="AP160" s="60"/>
      <c r="AQ160" s="60"/>
      <c r="AR160" s="60"/>
      <c r="AS160" s="60"/>
      <c r="AT160" s="60"/>
    </row>
    <row r="161" spans="9:46" x14ac:dyDescent="0.2">
      <c r="I161" s="18"/>
      <c r="J161" s="19"/>
      <c r="K161" s="19"/>
      <c r="L161" s="19"/>
      <c r="M161" s="19"/>
      <c r="N161" s="19"/>
      <c r="O161" s="18"/>
      <c r="Q161" s="19"/>
      <c r="R161" s="19"/>
      <c r="S161" s="44"/>
      <c r="T161" s="19"/>
      <c r="U161" s="60"/>
      <c r="V161" s="19"/>
      <c r="W161" s="60"/>
      <c r="X161" s="19"/>
      <c r="Y161" s="19"/>
      <c r="Z161" s="19"/>
      <c r="AA161" s="44"/>
      <c r="AB161" s="19"/>
      <c r="AC161" s="60"/>
      <c r="AD161" s="19"/>
      <c r="AE161" s="60"/>
      <c r="AF161" s="60"/>
      <c r="AG161" s="19"/>
      <c r="AH161" s="60"/>
      <c r="AI161" s="60"/>
      <c r="AJ161" s="19"/>
      <c r="AK161" s="60"/>
      <c r="AL161" s="60"/>
      <c r="AM161" s="19"/>
      <c r="AN161" s="60"/>
      <c r="AO161" s="60"/>
      <c r="AP161" s="60"/>
      <c r="AQ161" s="60"/>
      <c r="AR161" s="60"/>
      <c r="AS161" s="60"/>
      <c r="AT161" s="60"/>
    </row>
    <row r="162" spans="9:46" x14ac:dyDescent="0.2">
      <c r="I162" s="18"/>
      <c r="J162" s="19"/>
      <c r="K162" s="19"/>
      <c r="L162" s="19"/>
      <c r="M162" s="19"/>
      <c r="N162" s="19"/>
      <c r="O162" s="18"/>
      <c r="Q162" s="19"/>
      <c r="R162" s="19"/>
      <c r="S162" s="44"/>
      <c r="T162" s="19"/>
      <c r="U162" s="60"/>
      <c r="V162" s="19"/>
      <c r="W162" s="60"/>
      <c r="X162" s="19"/>
      <c r="Y162" s="19"/>
      <c r="Z162" s="19"/>
      <c r="AA162" s="44"/>
      <c r="AB162" s="19"/>
      <c r="AC162" s="60"/>
      <c r="AD162" s="19"/>
      <c r="AE162" s="60"/>
      <c r="AF162" s="60"/>
      <c r="AG162" s="19"/>
      <c r="AH162" s="60"/>
      <c r="AI162" s="60"/>
      <c r="AJ162" s="19"/>
      <c r="AK162" s="60"/>
      <c r="AL162" s="60"/>
      <c r="AM162" s="19"/>
      <c r="AN162" s="60"/>
      <c r="AO162" s="60"/>
      <c r="AP162" s="60"/>
      <c r="AQ162" s="60"/>
      <c r="AR162" s="60"/>
      <c r="AS162" s="60"/>
      <c r="AT162" s="60"/>
    </row>
  </sheetData>
  <mergeCells count="1">
    <mergeCell ref="A5:I5"/>
  </mergeCells>
  <phoneticPr fontId="3" type="noConversion"/>
  <printOptions horizontalCentered="1"/>
  <pageMargins left="0.3" right="0.3" top="1" bottom="1" header="0.42" footer="0.5"/>
  <pageSetup scale="70" orientation="landscape" r:id="rId1"/>
  <headerFooter alignWithMargins="0">
    <oddHeader>&amp;L&amp;"Arial,Bold"&amp;12Attorney General&amp;R&amp;"Arial,Bold"&amp;12 Justice System Appropriations Subcommittee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450"/>
  <sheetViews>
    <sheetView topLeftCell="B1" zoomScale="70" zoomScaleNormal="70" workbookViewId="0">
      <selection activeCell="AY23" sqref="AY23"/>
    </sheetView>
  </sheetViews>
  <sheetFormatPr defaultColWidth="9.140625" defaultRowHeight="12.75" x14ac:dyDescent="0.2"/>
  <cols>
    <col min="1" max="1" width="2.140625" style="92" hidden="1" customWidth="1"/>
    <col min="2" max="2" width="13.7109375" style="92" customWidth="1"/>
    <col min="3" max="3" width="0.7109375" style="92" customWidth="1"/>
    <col min="4" max="4" width="11.140625" style="54" hidden="1" customWidth="1"/>
    <col min="5" max="5" width="0.7109375" style="92" customWidth="1"/>
    <col min="6" max="6" width="36.5703125" style="55" customWidth="1"/>
    <col min="7" max="7" width="0.5703125" style="56" customWidth="1"/>
    <col min="8" max="8" width="19" style="55" customWidth="1"/>
    <col min="9" max="9" width="0.28515625" style="56" customWidth="1"/>
    <col min="10" max="10" width="10.28515625" style="56" customWidth="1"/>
    <col min="11" max="11" width="0.7109375" style="57" customWidth="1"/>
    <col min="12" max="12" width="11.42578125" style="56" hidden="1" customWidth="1"/>
    <col min="13" max="13" width="1" style="56" hidden="1" customWidth="1"/>
    <col min="14" max="14" width="14.140625" style="92" hidden="1" customWidth="1"/>
    <col min="15" max="15" width="0.7109375" style="92" hidden="1" customWidth="1"/>
    <col min="16" max="16" width="0" style="92" hidden="1" customWidth="1"/>
    <col min="17" max="17" width="13.85546875" style="78" hidden="1" customWidth="1"/>
    <col min="18" max="18" width="12" style="56" hidden="1" customWidth="1"/>
    <col min="19" max="19" width="0.85546875" style="92" hidden="1" customWidth="1"/>
    <col min="20" max="20" width="14" style="92" hidden="1" customWidth="1"/>
    <col min="21" max="21" width="0.85546875" style="92" hidden="1" customWidth="1"/>
    <col min="22" max="22" width="12.140625" style="97" hidden="1" customWidth="1"/>
    <col min="23" max="23" width="0.5703125" style="92" hidden="1" customWidth="1"/>
    <col min="24" max="24" width="11.140625" style="98" hidden="1" customWidth="1"/>
    <col min="25" max="25" width="0.85546875" style="92" hidden="1" customWidth="1"/>
    <col min="26" max="26" width="10.28515625" style="98" hidden="1" customWidth="1"/>
    <col min="27" max="27" width="1" style="92" hidden="1" customWidth="1"/>
    <col min="28" max="28" width="12" style="67" hidden="1" customWidth="1"/>
    <col min="29" max="29" width="0.7109375" style="92" hidden="1" customWidth="1"/>
    <col min="30" max="30" width="12.140625" style="244" hidden="1" customWidth="1"/>
    <col min="31" max="31" width="0.5703125" style="98" hidden="1" customWidth="1"/>
    <col min="32" max="32" width="11.140625" style="98" hidden="1" customWidth="1"/>
    <col min="33" max="33" width="0.85546875" style="98" hidden="1" customWidth="1"/>
    <col min="34" max="34" width="10.28515625" style="98" hidden="1" customWidth="1"/>
    <col min="35" max="35" width="1" style="98" hidden="1" customWidth="1"/>
    <col min="36" max="36" width="12" style="67" hidden="1" customWidth="1"/>
    <col min="37" max="37" width="1" style="67" hidden="1" customWidth="1"/>
    <col min="38" max="38" width="12" style="67" hidden="1" customWidth="1"/>
    <col min="39" max="39" width="1.28515625" style="67" hidden="1" customWidth="1"/>
    <col min="40" max="40" width="10.28515625" style="98" hidden="1" customWidth="1"/>
    <col min="41" max="41" width="1" style="98" hidden="1" customWidth="1"/>
    <col min="42" max="42" width="12" style="67" hidden="1" customWidth="1"/>
    <col min="43" max="43" width="1" style="98" hidden="1" customWidth="1"/>
    <col min="44" max="44" width="13.140625" style="92" hidden="1" customWidth="1"/>
    <col min="45" max="45" width="43.140625" style="224" hidden="1" customWidth="1"/>
    <col min="46" max="46" width="0.85546875" style="57" hidden="1" customWidth="1"/>
    <col min="47" max="47" width="53.85546875" style="224" hidden="1" customWidth="1"/>
    <col min="48" max="48" width="10.28515625" style="98" customWidth="1"/>
    <col min="49" max="49" width="1" style="98" customWidth="1"/>
    <col min="50" max="50" width="12" style="67" customWidth="1"/>
    <col min="51" max="51" width="1" style="67" customWidth="1"/>
    <col min="52" max="52" width="12" style="67" customWidth="1"/>
    <col min="53" max="53" width="1.28515625" style="67" customWidth="1"/>
    <col min="54" max="54" width="10.28515625" style="98" customWidth="1"/>
    <col min="55" max="55" width="1" style="98" customWidth="1"/>
    <col min="56" max="56" width="12" style="67" customWidth="1"/>
    <col min="57" max="57" width="1" style="98" customWidth="1"/>
    <col min="58" max="58" width="13.140625" style="92" customWidth="1"/>
    <col min="59" max="59" width="2.28515625" style="92" customWidth="1"/>
    <col min="60" max="61" width="13.140625" style="92" customWidth="1"/>
    <col min="62" max="62" width="2.140625" style="92" customWidth="1"/>
    <col min="63" max="64" width="13.140625" style="92" customWidth="1"/>
    <col min="65" max="65" width="18.85546875" style="155" customWidth="1"/>
    <col min="66" max="67" width="9.140625" style="57"/>
    <col min="68" max="68" width="9.5703125" style="57" customWidth="1"/>
    <col min="69" max="71" width="9.140625" style="57" hidden="1" customWidth="1"/>
    <col min="72" max="276" width="9.140625" style="57"/>
    <col min="277" max="277" width="2.140625" style="57" customWidth="1"/>
    <col min="278" max="278" width="13" style="57" customWidth="1"/>
    <col min="279" max="279" width="0.7109375" style="57" customWidth="1"/>
    <col min="280" max="280" width="14.7109375" style="57" customWidth="1"/>
    <col min="281" max="281" width="1.140625" style="57" customWidth="1"/>
    <col min="282" max="282" width="39" style="57" customWidth="1"/>
    <col min="283" max="283" width="1" style="57" customWidth="1"/>
    <col min="284" max="284" width="19" style="57" customWidth="1"/>
    <col min="285" max="285" width="1" style="57" customWidth="1"/>
    <col min="286" max="286" width="12.7109375" style="57" customWidth="1"/>
    <col min="287" max="287" width="0.7109375" style="57" customWidth="1"/>
    <col min="288" max="288" width="11.42578125" style="57" customWidth="1"/>
    <col min="289" max="289" width="1" style="57" customWidth="1"/>
    <col min="290" max="290" width="12" style="57" customWidth="1"/>
    <col min="291" max="291" width="0.85546875" style="57" customWidth="1"/>
    <col min="292" max="293" width="0" style="57" hidden="1" customWidth="1"/>
    <col min="294" max="294" width="14.28515625" style="57" customWidth="1"/>
    <col min="295" max="295" width="0.5703125" style="57" customWidth="1"/>
    <col min="296" max="296" width="11.140625" style="57" customWidth="1"/>
    <col min="297" max="297" width="1.28515625" style="57" customWidth="1"/>
    <col min="298" max="298" width="9.28515625" style="57" customWidth="1"/>
    <col min="299" max="299" width="1" style="57" customWidth="1"/>
    <col min="300" max="300" width="12.42578125" style="57" customWidth="1"/>
    <col min="301" max="301" width="1.140625" style="57" customWidth="1"/>
    <col min="302" max="302" width="11.7109375" style="57" customWidth="1"/>
    <col min="303" max="303" width="1.140625" style="57" customWidth="1"/>
    <col min="304" max="304" width="9.140625" style="57"/>
    <col min="305" max="305" width="1.42578125" style="57" customWidth="1"/>
    <col min="306" max="306" width="13.85546875" style="57" customWidth="1"/>
    <col min="307" max="307" width="55.28515625" style="57" customWidth="1"/>
    <col min="308" max="308" width="2" style="57" customWidth="1"/>
    <col min="309" max="309" width="67.42578125" style="57" customWidth="1"/>
    <col min="310" max="312" width="9.140625" style="57"/>
    <col min="313" max="316" width="9.140625" style="57" customWidth="1"/>
    <col min="317" max="317" width="16.85546875" style="57" customWidth="1"/>
    <col min="318" max="323" width="9.140625" style="57"/>
    <col min="324" max="324" width="9.5703125" style="57" customWidth="1"/>
    <col min="325" max="327" width="0" style="57" hidden="1" customWidth="1"/>
    <col min="328" max="532" width="9.140625" style="57"/>
    <col min="533" max="533" width="2.140625" style="57" customWidth="1"/>
    <col min="534" max="534" width="13" style="57" customWidth="1"/>
    <col min="535" max="535" width="0.7109375" style="57" customWidth="1"/>
    <col min="536" max="536" width="14.7109375" style="57" customWidth="1"/>
    <col min="537" max="537" width="1.140625" style="57" customWidth="1"/>
    <col min="538" max="538" width="39" style="57" customWidth="1"/>
    <col min="539" max="539" width="1" style="57" customWidth="1"/>
    <col min="540" max="540" width="19" style="57" customWidth="1"/>
    <col min="541" max="541" width="1" style="57" customWidth="1"/>
    <col min="542" max="542" width="12.7109375" style="57" customWidth="1"/>
    <col min="543" max="543" width="0.7109375" style="57" customWidth="1"/>
    <col min="544" max="544" width="11.42578125" style="57" customWidth="1"/>
    <col min="545" max="545" width="1" style="57" customWidth="1"/>
    <col min="546" max="546" width="12" style="57" customWidth="1"/>
    <col min="547" max="547" width="0.85546875" style="57" customWidth="1"/>
    <col min="548" max="549" width="0" style="57" hidden="1" customWidth="1"/>
    <col min="550" max="550" width="14.28515625" style="57" customWidth="1"/>
    <col min="551" max="551" width="0.5703125" style="57" customWidth="1"/>
    <col min="552" max="552" width="11.140625" style="57" customWidth="1"/>
    <col min="553" max="553" width="1.28515625" style="57" customWidth="1"/>
    <col min="554" max="554" width="9.28515625" style="57" customWidth="1"/>
    <col min="555" max="555" width="1" style="57" customWidth="1"/>
    <col min="556" max="556" width="12.42578125" style="57" customWidth="1"/>
    <col min="557" max="557" width="1.140625" style="57" customWidth="1"/>
    <col min="558" max="558" width="11.7109375" style="57" customWidth="1"/>
    <col min="559" max="559" width="1.140625" style="57" customWidth="1"/>
    <col min="560" max="560" width="9.140625" style="57"/>
    <col min="561" max="561" width="1.42578125" style="57" customWidth="1"/>
    <col min="562" max="562" width="13.85546875" style="57" customWidth="1"/>
    <col min="563" max="563" width="55.28515625" style="57" customWidth="1"/>
    <col min="564" max="564" width="2" style="57" customWidth="1"/>
    <col min="565" max="565" width="67.42578125" style="57" customWidth="1"/>
    <col min="566" max="568" width="9.140625" style="57"/>
    <col min="569" max="572" width="9.140625" style="57" customWidth="1"/>
    <col min="573" max="573" width="16.85546875" style="57" customWidth="1"/>
    <col min="574" max="579" width="9.140625" style="57"/>
    <col min="580" max="580" width="9.5703125" style="57" customWidth="1"/>
    <col min="581" max="583" width="0" style="57" hidden="1" customWidth="1"/>
    <col min="584" max="788" width="9.140625" style="57"/>
    <col min="789" max="789" width="2.140625" style="57" customWidth="1"/>
    <col min="790" max="790" width="13" style="57" customWidth="1"/>
    <col min="791" max="791" width="0.7109375" style="57" customWidth="1"/>
    <col min="792" max="792" width="14.7109375" style="57" customWidth="1"/>
    <col min="793" max="793" width="1.140625" style="57" customWidth="1"/>
    <col min="794" max="794" width="39" style="57" customWidth="1"/>
    <col min="795" max="795" width="1" style="57" customWidth="1"/>
    <col min="796" max="796" width="19" style="57" customWidth="1"/>
    <col min="797" max="797" width="1" style="57" customWidth="1"/>
    <col min="798" max="798" width="12.7109375" style="57" customWidth="1"/>
    <col min="799" max="799" width="0.7109375" style="57" customWidth="1"/>
    <col min="800" max="800" width="11.42578125" style="57" customWidth="1"/>
    <col min="801" max="801" width="1" style="57" customWidth="1"/>
    <col min="802" max="802" width="12" style="57" customWidth="1"/>
    <col min="803" max="803" width="0.85546875" style="57" customWidth="1"/>
    <col min="804" max="805" width="0" style="57" hidden="1" customWidth="1"/>
    <col min="806" max="806" width="14.28515625" style="57" customWidth="1"/>
    <col min="807" max="807" width="0.5703125" style="57" customWidth="1"/>
    <col min="808" max="808" width="11.140625" style="57" customWidth="1"/>
    <col min="809" max="809" width="1.28515625" style="57" customWidth="1"/>
    <col min="810" max="810" width="9.28515625" style="57" customWidth="1"/>
    <col min="811" max="811" width="1" style="57" customWidth="1"/>
    <col min="812" max="812" width="12.42578125" style="57" customWidth="1"/>
    <col min="813" max="813" width="1.140625" style="57" customWidth="1"/>
    <col min="814" max="814" width="11.7109375" style="57" customWidth="1"/>
    <col min="815" max="815" width="1.140625" style="57" customWidth="1"/>
    <col min="816" max="816" width="9.140625" style="57"/>
    <col min="817" max="817" width="1.42578125" style="57" customWidth="1"/>
    <col min="818" max="818" width="13.85546875" style="57" customWidth="1"/>
    <col min="819" max="819" width="55.28515625" style="57" customWidth="1"/>
    <col min="820" max="820" width="2" style="57" customWidth="1"/>
    <col min="821" max="821" width="67.42578125" style="57" customWidth="1"/>
    <col min="822" max="824" width="9.140625" style="57"/>
    <col min="825" max="828" width="9.140625" style="57" customWidth="1"/>
    <col min="829" max="829" width="16.85546875" style="57" customWidth="1"/>
    <col min="830" max="835" width="9.140625" style="57"/>
    <col min="836" max="836" width="9.5703125" style="57" customWidth="1"/>
    <col min="837" max="839" width="0" style="57" hidden="1" customWidth="1"/>
    <col min="840" max="1044" width="9.140625" style="57"/>
    <col min="1045" max="1045" width="2.140625" style="57" customWidth="1"/>
    <col min="1046" max="1046" width="13" style="57" customWidth="1"/>
    <col min="1047" max="1047" width="0.7109375" style="57" customWidth="1"/>
    <col min="1048" max="1048" width="14.7109375" style="57" customWidth="1"/>
    <col min="1049" max="1049" width="1.140625" style="57" customWidth="1"/>
    <col min="1050" max="1050" width="39" style="57" customWidth="1"/>
    <col min="1051" max="1051" width="1" style="57" customWidth="1"/>
    <col min="1052" max="1052" width="19" style="57" customWidth="1"/>
    <col min="1053" max="1053" width="1" style="57" customWidth="1"/>
    <col min="1054" max="1054" width="12.7109375" style="57" customWidth="1"/>
    <col min="1055" max="1055" width="0.7109375" style="57" customWidth="1"/>
    <col min="1056" max="1056" width="11.42578125" style="57" customWidth="1"/>
    <col min="1057" max="1057" width="1" style="57" customWidth="1"/>
    <col min="1058" max="1058" width="12" style="57" customWidth="1"/>
    <col min="1059" max="1059" width="0.85546875" style="57" customWidth="1"/>
    <col min="1060" max="1061" width="0" style="57" hidden="1" customWidth="1"/>
    <col min="1062" max="1062" width="14.28515625" style="57" customWidth="1"/>
    <col min="1063" max="1063" width="0.5703125" style="57" customWidth="1"/>
    <col min="1064" max="1064" width="11.140625" style="57" customWidth="1"/>
    <col min="1065" max="1065" width="1.28515625" style="57" customWidth="1"/>
    <col min="1066" max="1066" width="9.28515625" style="57" customWidth="1"/>
    <col min="1067" max="1067" width="1" style="57" customWidth="1"/>
    <col min="1068" max="1068" width="12.42578125" style="57" customWidth="1"/>
    <col min="1069" max="1069" width="1.140625" style="57" customWidth="1"/>
    <col min="1070" max="1070" width="11.7109375" style="57" customWidth="1"/>
    <col min="1071" max="1071" width="1.140625" style="57" customWidth="1"/>
    <col min="1072" max="1072" width="9.140625" style="57"/>
    <col min="1073" max="1073" width="1.42578125" style="57" customWidth="1"/>
    <col min="1074" max="1074" width="13.85546875" style="57" customWidth="1"/>
    <col min="1075" max="1075" width="55.28515625" style="57" customWidth="1"/>
    <col min="1076" max="1076" width="2" style="57" customWidth="1"/>
    <col min="1077" max="1077" width="67.42578125" style="57" customWidth="1"/>
    <col min="1078" max="1080" width="9.140625" style="57"/>
    <col min="1081" max="1084" width="9.140625" style="57" customWidth="1"/>
    <col min="1085" max="1085" width="16.85546875" style="57" customWidth="1"/>
    <col min="1086" max="1091" width="9.140625" style="57"/>
    <col min="1092" max="1092" width="9.5703125" style="57" customWidth="1"/>
    <col min="1093" max="1095" width="0" style="57" hidden="1" customWidth="1"/>
    <col min="1096" max="1300" width="9.140625" style="57"/>
    <col min="1301" max="1301" width="2.140625" style="57" customWidth="1"/>
    <col min="1302" max="1302" width="13" style="57" customWidth="1"/>
    <col min="1303" max="1303" width="0.7109375" style="57" customWidth="1"/>
    <col min="1304" max="1304" width="14.7109375" style="57" customWidth="1"/>
    <col min="1305" max="1305" width="1.140625" style="57" customWidth="1"/>
    <col min="1306" max="1306" width="39" style="57" customWidth="1"/>
    <col min="1307" max="1307" width="1" style="57" customWidth="1"/>
    <col min="1308" max="1308" width="19" style="57" customWidth="1"/>
    <col min="1309" max="1309" width="1" style="57" customWidth="1"/>
    <col min="1310" max="1310" width="12.7109375" style="57" customWidth="1"/>
    <col min="1311" max="1311" width="0.7109375" style="57" customWidth="1"/>
    <col min="1312" max="1312" width="11.42578125" style="57" customWidth="1"/>
    <col min="1313" max="1313" width="1" style="57" customWidth="1"/>
    <col min="1314" max="1314" width="12" style="57" customWidth="1"/>
    <col min="1315" max="1315" width="0.85546875" style="57" customWidth="1"/>
    <col min="1316" max="1317" width="0" style="57" hidden="1" customWidth="1"/>
    <col min="1318" max="1318" width="14.28515625" style="57" customWidth="1"/>
    <col min="1319" max="1319" width="0.5703125" style="57" customWidth="1"/>
    <col min="1320" max="1320" width="11.140625" style="57" customWidth="1"/>
    <col min="1321" max="1321" width="1.28515625" style="57" customWidth="1"/>
    <col min="1322" max="1322" width="9.28515625" style="57" customWidth="1"/>
    <col min="1323" max="1323" width="1" style="57" customWidth="1"/>
    <col min="1324" max="1324" width="12.42578125" style="57" customWidth="1"/>
    <col min="1325" max="1325" width="1.140625" style="57" customWidth="1"/>
    <col min="1326" max="1326" width="11.7109375" style="57" customWidth="1"/>
    <col min="1327" max="1327" width="1.140625" style="57" customWidth="1"/>
    <col min="1328" max="1328" width="9.140625" style="57"/>
    <col min="1329" max="1329" width="1.42578125" style="57" customWidth="1"/>
    <col min="1330" max="1330" width="13.85546875" style="57" customWidth="1"/>
    <col min="1331" max="1331" width="55.28515625" style="57" customWidth="1"/>
    <col min="1332" max="1332" width="2" style="57" customWidth="1"/>
    <col min="1333" max="1333" width="67.42578125" style="57" customWidth="1"/>
    <col min="1334" max="1336" width="9.140625" style="57"/>
    <col min="1337" max="1340" width="9.140625" style="57" customWidth="1"/>
    <col min="1341" max="1341" width="16.85546875" style="57" customWidth="1"/>
    <col min="1342" max="1347" width="9.140625" style="57"/>
    <col min="1348" max="1348" width="9.5703125" style="57" customWidth="1"/>
    <col min="1349" max="1351" width="0" style="57" hidden="1" customWidth="1"/>
    <col min="1352" max="1556" width="9.140625" style="57"/>
    <col min="1557" max="1557" width="2.140625" style="57" customWidth="1"/>
    <col min="1558" max="1558" width="13" style="57" customWidth="1"/>
    <col min="1559" max="1559" width="0.7109375" style="57" customWidth="1"/>
    <col min="1560" max="1560" width="14.7109375" style="57" customWidth="1"/>
    <col min="1561" max="1561" width="1.140625" style="57" customWidth="1"/>
    <col min="1562" max="1562" width="39" style="57" customWidth="1"/>
    <col min="1563" max="1563" width="1" style="57" customWidth="1"/>
    <col min="1564" max="1564" width="19" style="57" customWidth="1"/>
    <col min="1565" max="1565" width="1" style="57" customWidth="1"/>
    <col min="1566" max="1566" width="12.7109375" style="57" customWidth="1"/>
    <col min="1567" max="1567" width="0.7109375" style="57" customWidth="1"/>
    <col min="1568" max="1568" width="11.42578125" style="57" customWidth="1"/>
    <col min="1569" max="1569" width="1" style="57" customWidth="1"/>
    <col min="1570" max="1570" width="12" style="57" customWidth="1"/>
    <col min="1571" max="1571" width="0.85546875" style="57" customWidth="1"/>
    <col min="1572" max="1573" width="0" style="57" hidden="1" customWidth="1"/>
    <col min="1574" max="1574" width="14.28515625" style="57" customWidth="1"/>
    <col min="1575" max="1575" width="0.5703125" style="57" customWidth="1"/>
    <col min="1576" max="1576" width="11.140625" style="57" customWidth="1"/>
    <col min="1577" max="1577" width="1.28515625" style="57" customWidth="1"/>
    <col min="1578" max="1578" width="9.28515625" style="57" customWidth="1"/>
    <col min="1579" max="1579" width="1" style="57" customWidth="1"/>
    <col min="1580" max="1580" width="12.42578125" style="57" customWidth="1"/>
    <col min="1581" max="1581" width="1.140625" style="57" customWidth="1"/>
    <col min="1582" max="1582" width="11.7109375" style="57" customWidth="1"/>
    <col min="1583" max="1583" width="1.140625" style="57" customWidth="1"/>
    <col min="1584" max="1584" width="9.140625" style="57"/>
    <col min="1585" max="1585" width="1.42578125" style="57" customWidth="1"/>
    <col min="1586" max="1586" width="13.85546875" style="57" customWidth="1"/>
    <col min="1587" max="1587" width="55.28515625" style="57" customWidth="1"/>
    <col min="1588" max="1588" width="2" style="57" customWidth="1"/>
    <col min="1589" max="1589" width="67.42578125" style="57" customWidth="1"/>
    <col min="1590" max="1592" width="9.140625" style="57"/>
    <col min="1593" max="1596" width="9.140625" style="57" customWidth="1"/>
    <col min="1597" max="1597" width="16.85546875" style="57" customWidth="1"/>
    <col min="1598" max="1603" width="9.140625" style="57"/>
    <col min="1604" max="1604" width="9.5703125" style="57" customWidth="1"/>
    <col min="1605" max="1607" width="0" style="57" hidden="1" customWidth="1"/>
    <col min="1608" max="1812" width="9.140625" style="57"/>
    <col min="1813" max="1813" width="2.140625" style="57" customWidth="1"/>
    <col min="1814" max="1814" width="13" style="57" customWidth="1"/>
    <col min="1815" max="1815" width="0.7109375" style="57" customWidth="1"/>
    <col min="1816" max="1816" width="14.7109375" style="57" customWidth="1"/>
    <col min="1817" max="1817" width="1.140625" style="57" customWidth="1"/>
    <col min="1818" max="1818" width="39" style="57" customWidth="1"/>
    <col min="1819" max="1819" width="1" style="57" customWidth="1"/>
    <col min="1820" max="1820" width="19" style="57" customWidth="1"/>
    <col min="1821" max="1821" width="1" style="57" customWidth="1"/>
    <col min="1822" max="1822" width="12.7109375" style="57" customWidth="1"/>
    <col min="1823" max="1823" width="0.7109375" style="57" customWidth="1"/>
    <col min="1824" max="1824" width="11.42578125" style="57" customWidth="1"/>
    <col min="1825" max="1825" width="1" style="57" customWidth="1"/>
    <col min="1826" max="1826" width="12" style="57" customWidth="1"/>
    <col min="1827" max="1827" width="0.85546875" style="57" customWidth="1"/>
    <col min="1828" max="1829" width="0" style="57" hidden="1" customWidth="1"/>
    <col min="1830" max="1830" width="14.28515625" style="57" customWidth="1"/>
    <col min="1831" max="1831" width="0.5703125" style="57" customWidth="1"/>
    <col min="1832" max="1832" width="11.140625" style="57" customWidth="1"/>
    <col min="1833" max="1833" width="1.28515625" style="57" customWidth="1"/>
    <col min="1834" max="1834" width="9.28515625" style="57" customWidth="1"/>
    <col min="1835" max="1835" width="1" style="57" customWidth="1"/>
    <col min="1836" max="1836" width="12.42578125" style="57" customWidth="1"/>
    <col min="1837" max="1837" width="1.140625" style="57" customWidth="1"/>
    <col min="1838" max="1838" width="11.7109375" style="57" customWidth="1"/>
    <col min="1839" max="1839" width="1.140625" style="57" customWidth="1"/>
    <col min="1840" max="1840" width="9.140625" style="57"/>
    <col min="1841" max="1841" width="1.42578125" style="57" customWidth="1"/>
    <col min="1842" max="1842" width="13.85546875" style="57" customWidth="1"/>
    <col min="1843" max="1843" width="55.28515625" style="57" customWidth="1"/>
    <col min="1844" max="1844" width="2" style="57" customWidth="1"/>
    <col min="1845" max="1845" width="67.42578125" style="57" customWidth="1"/>
    <col min="1846" max="1848" width="9.140625" style="57"/>
    <col min="1849" max="1852" width="9.140625" style="57" customWidth="1"/>
    <col min="1853" max="1853" width="16.85546875" style="57" customWidth="1"/>
    <col min="1854" max="1859" width="9.140625" style="57"/>
    <col min="1860" max="1860" width="9.5703125" style="57" customWidth="1"/>
    <col min="1861" max="1863" width="0" style="57" hidden="1" customWidth="1"/>
    <col min="1864" max="2068" width="9.140625" style="57"/>
    <col min="2069" max="2069" width="2.140625" style="57" customWidth="1"/>
    <col min="2070" max="2070" width="13" style="57" customWidth="1"/>
    <col min="2071" max="2071" width="0.7109375" style="57" customWidth="1"/>
    <col min="2072" max="2072" width="14.7109375" style="57" customWidth="1"/>
    <col min="2073" max="2073" width="1.140625" style="57" customWidth="1"/>
    <col min="2074" max="2074" width="39" style="57" customWidth="1"/>
    <col min="2075" max="2075" width="1" style="57" customWidth="1"/>
    <col min="2076" max="2076" width="19" style="57" customWidth="1"/>
    <col min="2077" max="2077" width="1" style="57" customWidth="1"/>
    <col min="2078" max="2078" width="12.7109375" style="57" customWidth="1"/>
    <col min="2079" max="2079" width="0.7109375" style="57" customWidth="1"/>
    <col min="2080" max="2080" width="11.42578125" style="57" customWidth="1"/>
    <col min="2081" max="2081" width="1" style="57" customWidth="1"/>
    <col min="2082" max="2082" width="12" style="57" customWidth="1"/>
    <col min="2083" max="2083" width="0.85546875" style="57" customWidth="1"/>
    <col min="2084" max="2085" width="0" style="57" hidden="1" customWidth="1"/>
    <col min="2086" max="2086" width="14.28515625" style="57" customWidth="1"/>
    <col min="2087" max="2087" width="0.5703125" style="57" customWidth="1"/>
    <col min="2088" max="2088" width="11.140625" style="57" customWidth="1"/>
    <col min="2089" max="2089" width="1.28515625" style="57" customWidth="1"/>
    <col min="2090" max="2090" width="9.28515625" style="57" customWidth="1"/>
    <col min="2091" max="2091" width="1" style="57" customWidth="1"/>
    <col min="2092" max="2092" width="12.42578125" style="57" customWidth="1"/>
    <col min="2093" max="2093" width="1.140625" style="57" customWidth="1"/>
    <col min="2094" max="2094" width="11.7109375" style="57" customWidth="1"/>
    <col min="2095" max="2095" width="1.140625" style="57" customWidth="1"/>
    <col min="2096" max="2096" width="9.140625" style="57"/>
    <col min="2097" max="2097" width="1.42578125" style="57" customWidth="1"/>
    <col min="2098" max="2098" width="13.85546875" style="57" customWidth="1"/>
    <col min="2099" max="2099" width="55.28515625" style="57" customWidth="1"/>
    <col min="2100" max="2100" width="2" style="57" customWidth="1"/>
    <col min="2101" max="2101" width="67.42578125" style="57" customWidth="1"/>
    <col min="2102" max="2104" width="9.140625" style="57"/>
    <col min="2105" max="2108" width="9.140625" style="57" customWidth="1"/>
    <col min="2109" max="2109" width="16.85546875" style="57" customWidth="1"/>
    <col min="2110" max="2115" width="9.140625" style="57"/>
    <col min="2116" max="2116" width="9.5703125" style="57" customWidth="1"/>
    <col min="2117" max="2119" width="0" style="57" hidden="1" customWidth="1"/>
    <col min="2120" max="2324" width="9.140625" style="57"/>
    <col min="2325" max="2325" width="2.140625" style="57" customWidth="1"/>
    <col min="2326" max="2326" width="13" style="57" customWidth="1"/>
    <col min="2327" max="2327" width="0.7109375" style="57" customWidth="1"/>
    <col min="2328" max="2328" width="14.7109375" style="57" customWidth="1"/>
    <col min="2329" max="2329" width="1.140625" style="57" customWidth="1"/>
    <col min="2330" max="2330" width="39" style="57" customWidth="1"/>
    <col min="2331" max="2331" width="1" style="57" customWidth="1"/>
    <col min="2332" max="2332" width="19" style="57" customWidth="1"/>
    <col min="2333" max="2333" width="1" style="57" customWidth="1"/>
    <col min="2334" max="2334" width="12.7109375" style="57" customWidth="1"/>
    <col min="2335" max="2335" width="0.7109375" style="57" customWidth="1"/>
    <col min="2336" max="2336" width="11.42578125" style="57" customWidth="1"/>
    <col min="2337" max="2337" width="1" style="57" customWidth="1"/>
    <col min="2338" max="2338" width="12" style="57" customWidth="1"/>
    <col min="2339" max="2339" width="0.85546875" style="57" customWidth="1"/>
    <col min="2340" max="2341" width="0" style="57" hidden="1" customWidth="1"/>
    <col min="2342" max="2342" width="14.28515625" style="57" customWidth="1"/>
    <col min="2343" max="2343" width="0.5703125" style="57" customWidth="1"/>
    <col min="2344" max="2344" width="11.140625" style="57" customWidth="1"/>
    <col min="2345" max="2345" width="1.28515625" style="57" customWidth="1"/>
    <col min="2346" max="2346" width="9.28515625" style="57" customWidth="1"/>
    <col min="2347" max="2347" width="1" style="57" customWidth="1"/>
    <col min="2348" max="2348" width="12.42578125" style="57" customWidth="1"/>
    <col min="2349" max="2349" width="1.140625" style="57" customWidth="1"/>
    <col min="2350" max="2350" width="11.7109375" style="57" customWidth="1"/>
    <col min="2351" max="2351" width="1.140625" style="57" customWidth="1"/>
    <col min="2352" max="2352" width="9.140625" style="57"/>
    <col min="2353" max="2353" width="1.42578125" style="57" customWidth="1"/>
    <col min="2354" max="2354" width="13.85546875" style="57" customWidth="1"/>
    <col min="2355" max="2355" width="55.28515625" style="57" customWidth="1"/>
    <col min="2356" max="2356" width="2" style="57" customWidth="1"/>
    <col min="2357" max="2357" width="67.42578125" style="57" customWidth="1"/>
    <col min="2358" max="2360" width="9.140625" style="57"/>
    <col min="2361" max="2364" width="9.140625" style="57" customWidth="1"/>
    <col min="2365" max="2365" width="16.85546875" style="57" customWidth="1"/>
    <col min="2366" max="2371" width="9.140625" style="57"/>
    <col min="2372" max="2372" width="9.5703125" style="57" customWidth="1"/>
    <col min="2373" max="2375" width="0" style="57" hidden="1" customWidth="1"/>
    <col min="2376" max="2580" width="9.140625" style="57"/>
    <col min="2581" max="2581" width="2.140625" style="57" customWidth="1"/>
    <col min="2582" max="2582" width="13" style="57" customWidth="1"/>
    <col min="2583" max="2583" width="0.7109375" style="57" customWidth="1"/>
    <col min="2584" max="2584" width="14.7109375" style="57" customWidth="1"/>
    <col min="2585" max="2585" width="1.140625" style="57" customWidth="1"/>
    <col min="2586" max="2586" width="39" style="57" customWidth="1"/>
    <col min="2587" max="2587" width="1" style="57" customWidth="1"/>
    <col min="2588" max="2588" width="19" style="57" customWidth="1"/>
    <col min="2589" max="2589" width="1" style="57" customWidth="1"/>
    <col min="2590" max="2590" width="12.7109375" style="57" customWidth="1"/>
    <col min="2591" max="2591" width="0.7109375" style="57" customWidth="1"/>
    <col min="2592" max="2592" width="11.42578125" style="57" customWidth="1"/>
    <col min="2593" max="2593" width="1" style="57" customWidth="1"/>
    <col min="2594" max="2594" width="12" style="57" customWidth="1"/>
    <col min="2595" max="2595" width="0.85546875" style="57" customWidth="1"/>
    <col min="2596" max="2597" width="0" style="57" hidden="1" customWidth="1"/>
    <col min="2598" max="2598" width="14.28515625" style="57" customWidth="1"/>
    <col min="2599" max="2599" width="0.5703125" style="57" customWidth="1"/>
    <col min="2600" max="2600" width="11.140625" style="57" customWidth="1"/>
    <col min="2601" max="2601" width="1.28515625" style="57" customWidth="1"/>
    <col min="2602" max="2602" width="9.28515625" style="57" customWidth="1"/>
    <col min="2603" max="2603" width="1" style="57" customWidth="1"/>
    <col min="2604" max="2604" width="12.42578125" style="57" customWidth="1"/>
    <col min="2605" max="2605" width="1.140625" style="57" customWidth="1"/>
    <col min="2606" max="2606" width="11.7109375" style="57" customWidth="1"/>
    <col min="2607" max="2607" width="1.140625" style="57" customWidth="1"/>
    <col min="2608" max="2608" width="9.140625" style="57"/>
    <col min="2609" max="2609" width="1.42578125" style="57" customWidth="1"/>
    <col min="2610" max="2610" width="13.85546875" style="57" customWidth="1"/>
    <col min="2611" max="2611" width="55.28515625" style="57" customWidth="1"/>
    <col min="2612" max="2612" width="2" style="57" customWidth="1"/>
    <col min="2613" max="2613" width="67.42578125" style="57" customWidth="1"/>
    <col min="2614" max="2616" width="9.140625" style="57"/>
    <col min="2617" max="2620" width="9.140625" style="57" customWidth="1"/>
    <col min="2621" max="2621" width="16.85546875" style="57" customWidth="1"/>
    <col min="2622" max="2627" width="9.140625" style="57"/>
    <col min="2628" max="2628" width="9.5703125" style="57" customWidth="1"/>
    <col min="2629" max="2631" width="0" style="57" hidden="1" customWidth="1"/>
    <col min="2632" max="2836" width="9.140625" style="57"/>
    <col min="2837" max="2837" width="2.140625" style="57" customWidth="1"/>
    <col min="2838" max="2838" width="13" style="57" customWidth="1"/>
    <col min="2839" max="2839" width="0.7109375" style="57" customWidth="1"/>
    <col min="2840" max="2840" width="14.7109375" style="57" customWidth="1"/>
    <col min="2841" max="2841" width="1.140625" style="57" customWidth="1"/>
    <col min="2842" max="2842" width="39" style="57" customWidth="1"/>
    <col min="2843" max="2843" width="1" style="57" customWidth="1"/>
    <col min="2844" max="2844" width="19" style="57" customWidth="1"/>
    <col min="2845" max="2845" width="1" style="57" customWidth="1"/>
    <col min="2846" max="2846" width="12.7109375" style="57" customWidth="1"/>
    <col min="2847" max="2847" width="0.7109375" style="57" customWidth="1"/>
    <col min="2848" max="2848" width="11.42578125" style="57" customWidth="1"/>
    <col min="2849" max="2849" width="1" style="57" customWidth="1"/>
    <col min="2850" max="2850" width="12" style="57" customWidth="1"/>
    <col min="2851" max="2851" width="0.85546875" style="57" customWidth="1"/>
    <col min="2852" max="2853" width="0" style="57" hidden="1" customWidth="1"/>
    <col min="2854" max="2854" width="14.28515625" style="57" customWidth="1"/>
    <col min="2855" max="2855" width="0.5703125" style="57" customWidth="1"/>
    <col min="2856" max="2856" width="11.140625" style="57" customWidth="1"/>
    <col min="2857" max="2857" width="1.28515625" style="57" customWidth="1"/>
    <col min="2858" max="2858" width="9.28515625" style="57" customWidth="1"/>
    <col min="2859" max="2859" width="1" style="57" customWidth="1"/>
    <col min="2860" max="2860" width="12.42578125" style="57" customWidth="1"/>
    <col min="2861" max="2861" width="1.140625" style="57" customWidth="1"/>
    <col min="2862" max="2862" width="11.7109375" style="57" customWidth="1"/>
    <col min="2863" max="2863" width="1.140625" style="57" customWidth="1"/>
    <col min="2864" max="2864" width="9.140625" style="57"/>
    <col min="2865" max="2865" width="1.42578125" style="57" customWidth="1"/>
    <col min="2866" max="2866" width="13.85546875" style="57" customWidth="1"/>
    <col min="2867" max="2867" width="55.28515625" style="57" customWidth="1"/>
    <col min="2868" max="2868" width="2" style="57" customWidth="1"/>
    <col min="2869" max="2869" width="67.42578125" style="57" customWidth="1"/>
    <col min="2870" max="2872" width="9.140625" style="57"/>
    <col min="2873" max="2876" width="9.140625" style="57" customWidth="1"/>
    <col min="2877" max="2877" width="16.85546875" style="57" customWidth="1"/>
    <col min="2878" max="2883" width="9.140625" style="57"/>
    <col min="2884" max="2884" width="9.5703125" style="57" customWidth="1"/>
    <col min="2885" max="2887" width="0" style="57" hidden="1" customWidth="1"/>
    <col min="2888" max="3092" width="9.140625" style="57"/>
    <col min="3093" max="3093" width="2.140625" style="57" customWidth="1"/>
    <col min="3094" max="3094" width="13" style="57" customWidth="1"/>
    <col min="3095" max="3095" width="0.7109375" style="57" customWidth="1"/>
    <col min="3096" max="3096" width="14.7109375" style="57" customWidth="1"/>
    <col min="3097" max="3097" width="1.140625" style="57" customWidth="1"/>
    <col min="3098" max="3098" width="39" style="57" customWidth="1"/>
    <col min="3099" max="3099" width="1" style="57" customWidth="1"/>
    <col min="3100" max="3100" width="19" style="57" customWidth="1"/>
    <col min="3101" max="3101" width="1" style="57" customWidth="1"/>
    <col min="3102" max="3102" width="12.7109375" style="57" customWidth="1"/>
    <col min="3103" max="3103" width="0.7109375" style="57" customWidth="1"/>
    <col min="3104" max="3104" width="11.42578125" style="57" customWidth="1"/>
    <col min="3105" max="3105" width="1" style="57" customWidth="1"/>
    <col min="3106" max="3106" width="12" style="57" customWidth="1"/>
    <col min="3107" max="3107" width="0.85546875" style="57" customWidth="1"/>
    <col min="3108" max="3109" width="0" style="57" hidden="1" customWidth="1"/>
    <col min="3110" max="3110" width="14.28515625" style="57" customWidth="1"/>
    <col min="3111" max="3111" width="0.5703125" style="57" customWidth="1"/>
    <col min="3112" max="3112" width="11.140625" style="57" customWidth="1"/>
    <col min="3113" max="3113" width="1.28515625" style="57" customWidth="1"/>
    <col min="3114" max="3114" width="9.28515625" style="57" customWidth="1"/>
    <col min="3115" max="3115" width="1" style="57" customWidth="1"/>
    <col min="3116" max="3116" width="12.42578125" style="57" customWidth="1"/>
    <col min="3117" max="3117" width="1.140625" style="57" customWidth="1"/>
    <col min="3118" max="3118" width="11.7109375" style="57" customWidth="1"/>
    <col min="3119" max="3119" width="1.140625" style="57" customWidth="1"/>
    <col min="3120" max="3120" width="9.140625" style="57"/>
    <col min="3121" max="3121" width="1.42578125" style="57" customWidth="1"/>
    <col min="3122" max="3122" width="13.85546875" style="57" customWidth="1"/>
    <col min="3123" max="3123" width="55.28515625" style="57" customWidth="1"/>
    <col min="3124" max="3124" width="2" style="57" customWidth="1"/>
    <col min="3125" max="3125" width="67.42578125" style="57" customWidth="1"/>
    <col min="3126" max="3128" width="9.140625" style="57"/>
    <col min="3129" max="3132" width="9.140625" style="57" customWidth="1"/>
    <col min="3133" max="3133" width="16.85546875" style="57" customWidth="1"/>
    <col min="3134" max="3139" width="9.140625" style="57"/>
    <col min="3140" max="3140" width="9.5703125" style="57" customWidth="1"/>
    <col min="3141" max="3143" width="0" style="57" hidden="1" customWidth="1"/>
    <col min="3144" max="3348" width="9.140625" style="57"/>
    <col min="3349" max="3349" width="2.140625" style="57" customWidth="1"/>
    <col min="3350" max="3350" width="13" style="57" customWidth="1"/>
    <col min="3351" max="3351" width="0.7109375" style="57" customWidth="1"/>
    <col min="3352" max="3352" width="14.7109375" style="57" customWidth="1"/>
    <col min="3353" max="3353" width="1.140625" style="57" customWidth="1"/>
    <col min="3354" max="3354" width="39" style="57" customWidth="1"/>
    <col min="3355" max="3355" width="1" style="57" customWidth="1"/>
    <col min="3356" max="3356" width="19" style="57" customWidth="1"/>
    <col min="3357" max="3357" width="1" style="57" customWidth="1"/>
    <col min="3358" max="3358" width="12.7109375" style="57" customWidth="1"/>
    <col min="3359" max="3359" width="0.7109375" style="57" customWidth="1"/>
    <col min="3360" max="3360" width="11.42578125" style="57" customWidth="1"/>
    <col min="3361" max="3361" width="1" style="57" customWidth="1"/>
    <col min="3362" max="3362" width="12" style="57" customWidth="1"/>
    <col min="3363" max="3363" width="0.85546875" style="57" customWidth="1"/>
    <col min="3364" max="3365" width="0" style="57" hidden="1" customWidth="1"/>
    <col min="3366" max="3366" width="14.28515625" style="57" customWidth="1"/>
    <col min="3367" max="3367" width="0.5703125" style="57" customWidth="1"/>
    <col min="3368" max="3368" width="11.140625" style="57" customWidth="1"/>
    <col min="3369" max="3369" width="1.28515625" style="57" customWidth="1"/>
    <col min="3370" max="3370" width="9.28515625" style="57" customWidth="1"/>
    <col min="3371" max="3371" width="1" style="57" customWidth="1"/>
    <col min="3372" max="3372" width="12.42578125" style="57" customWidth="1"/>
    <col min="3373" max="3373" width="1.140625" style="57" customWidth="1"/>
    <col min="3374" max="3374" width="11.7109375" style="57" customWidth="1"/>
    <col min="3375" max="3375" width="1.140625" style="57" customWidth="1"/>
    <col min="3376" max="3376" width="9.140625" style="57"/>
    <col min="3377" max="3377" width="1.42578125" style="57" customWidth="1"/>
    <col min="3378" max="3378" width="13.85546875" style="57" customWidth="1"/>
    <col min="3379" max="3379" width="55.28515625" style="57" customWidth="1"/>
    <col min="3380" max="3380" width="2" style="57" customWidth="1"/>
    <col min="3381" max="3381" width="67.42578125" style="57" customWidth="1"/>
    <col min="3382" max="3384" width="9.140625" style="57"/>
    <col min="3385" max="3388" width="9.140625" style="57" customWidth="1"/>
    <col min="3389" max="3389" width="16.85546875" style="57" customWidth="1"/>
    <col min="3390" max="3395" width="9.140625" style="57"/>
    <col min="3396" max="3396" width="9.5703125" style="57" customWidth="1"/>
    <col min="3397" max="3399" width="0" style="57" hidden="1" customWidth="1"/>
    <col min="3400" max="3604" width="9.140625" style="57"/>
    <col min="3605" max="3605" width="2.140625" style="57" customWidth="1"/>
    <col min="3606" max="3606" width="13" style="57" customWidth="1"/>
    <col min="3607" max="3607" width="0.7109375" style="57" customWidth="1"/>
    <col min="3608" max="3608" width="14.7109375" style="57" customWidth="1"/>
    <col min="3609" max="3609" width="1.140625" style="57" customWidth="1"/>
    <col min="3610" max="3610" width="39" style="57" customWidth="1"/>
    <col min="3611" max="3611" width="1" style="57" customWidth="1"/>
    <col min="3612" max="3612" width="19" style="57" customWidth="1"/>
    <col min="3613" max="3613" width="1" style="57" customWidth="1"/>
    <col min="3614" max="3614" width="12.7109375" style="57" customWidth="1"/>
    <col min="3615" max="3615" width="0.7109375" style="57" customWidth="1"/>
    <col min="3616" max="3616" width="11.42578125" style="57" customWidth="1"/>
    <col min="3617" max="3617" width="1" style="57" customWidth="1"/>
    <col min="3618" max="3618" width="12" style="57" customWidth="1"/>
    <col min="3619" max="3619" width="0.85546875" style="57" customWidth="1"/>
    <col min="3620" max="3621" width="0" style="57" hidden="1" customWidth="1"/>
    <col min="3622" max="3622" width="14.28515625" style="57" customWidth="1"/>
    <col min="3623" max="3623" width="0.5703125" style="57" customWidth="1"/>
    <col min="3624" max="3624" width="11.140625" style="57" customWidth="1"/>
    <col min="3625" max="3625" width="1.28515625" style="57" customWidth="1"/>
    <col min="3626" max="3626" width="9.28515625" style="57" customWidth="1"/>
    <col min="3627" max="3627" width="1" style="57" customWidth="1"/>
    <col min="3628" max="3628" width="12.42578125" style="57" customWidth="1"/>
    <col min="3629" max="3629" width="1.140625" style="57" customWidth="1"/>
    <col min="3630" max="3630" width="11.7109375" style="57" customWidth="1"/>
    <col min="3631" max="3631" width="1.140625" style="57" customWidth="1"/>
    <col min="3632" max="3632" width="9.140625" style="57"/>
    <col min="3633" max="3633" width="1.42578125" style="57" customWidth="1"/>
    <col min="3634" max="3634" width="13.85546875" style="57" customWidth="1"/>
    <col min="3635" max="3635" width="55.28515625" style="57" customWidth="1"/>
    <col min="3636" max="3636" width="2" style="57" customWidth="1"/>
    <col min="3637" max="3637" width="67.42578125" style="57" customWidth="1"/>
    <col min="3638" max="3640" width="9.140625" style="57"/>
    <col min="3641" max="3644" width="9.140625" style="57" customWidth="1"/>
    <col min="3645" max="3645" width="16.85546875" style="57" customWidth="1"/>
    <col min="3646" max="3651" width="9.140625" style="57"/>
    <col min="3652" max="3652" width="9.5703125" style="57" customWidth="1"/>
    <col min="3653" max="3655" width="0" style="57" hidden="1" customWidth="1"/>
    <col min="3656" max="3860" width="9.140625" style="57"/>
    <col min="3861" max="3861" width="2.140625" style="57" customWidth="1"/>
    <col min="3862" max="3862" width="13" style="57" customWidth="1"/>
    <col min="3863" max="3863" width="0.7109375" style="57" customWidth="1"/>
    <col min="3864" max="3864" width="14.7109375" style="57" customWidth="1"/>
    <col min="3865" max="3865" width="1.140625" style="57" customWidth="1"/>
    <col min="3866" max="3866" width="39" style="57" customWidth="1"/>
    <col min="3867" max="3867" width="1" style="57" customWidth="1"/>
    <col min="3868" max="3868" width="19" style="57" customWidth="1"/>
    <col min="3869" max="3869" width="1" style="57" customWidth="1"/>
    <col min="3870" max="3870" width="12.7109375" style="57" customWidth="1"/>
    <col min="3871" max="3871" width="0.7109375" style="57" customWidth="1"/>
    <col min="3872" max="3872" width="11.42578125" style="57" customWidth="1"/>
    <col min="3873" max="3873" width="1" style="57" customWidth="1"/>
    <col min="3874" max="3874" width="12" style="57" customWidth="1"/>
    <col min="3875" max="3875" width="0.85546875" style="57" customWidth="1"/>
    <col min="3876" max="3877" width="0" style="57" hidden="1" customWidth="1"/>
    <col min="3878" max="3878" width="14.28515625" style="57" customWidth="1"/>
    <col min="3879" max="3879" width="0.5703125" style="57" customWidth="1"/>
    <col min="3880" max="3880" width="11.140625" style="57" customWidth="1"/>
    <col min="3881" max="3881" width="1.28515625" style="57" customWidth="1"/>
    <col min="3882" max="3882" width="9.28515625" style="57" customWidth="1"/>
    <col min="3883" max="3883" width="1" style="57" customWidth="1"/>
    <col min="3884" max="3884" width="12.42578125" style="57" customWidth="1"/>
    <col min="3885" max="3885" width="1.140625" style="57" customWidth="1"/>
    <col min="3886" max="3886" width="11.7109375" style="57" customWidth="1"/>
    <col min="3887" max="3887" width="1.140625" style="57" customWidth="1"/>
    <col min="3888" max="3888" width="9.140625" style="57"/>
    <col min="3889" max="3889" width="1.42578125" style="57" customWidth="1"/>
    <col min="3890" max="3890" width="13.85546875" style="57" customWidth="1"/>
    <col min="3891" max="3891" width="55.28515625" style="57" customWidth="1"/>
    <col min="3892" max="3892" width="2" style="57" customWidth="1"/>
    <col min="3893" max="3893" width="67.42578125" style="57" customWidth="1"/>
    <col min="3894" max="3896" width="9.140625" style="57"/>
    <col min="3897" max="3900" width="9.140625" style="57" customWidth="1"/>
    <col min="3901" max="3901" width="16.85546875" style="57" customWidth="1"/>
    <col min="3902" max="3907" width="9.140625" style="57"/>
    <col min="3908" max="3908" width="9.5703125" style="57" customWidth="1"/>
    <col min="3909" max="3911" width="0" style="57" hidden="1" customWidth="1"/>
    <col min="3912" max="4116" width="9.140625" style="57"/>
    <col min="4117" max="4117" width="2.140625" style="57" customWidth="1"/>
    <col min="4118" max="4118" width="13" style="57" customWidth="1"/>
    <col min="4119" max="4119" width="0.7109375" style="57" customWidth="1"/>
    <col min="4120" max="4120" width="14.7109375" style="57" customWidth="1"/>
    <col min="4121" max="4121" width="1.140625" style="57" customWidth="1"/>
    <col min="4122" max="4122" width="39" style="57" customWidth="1"/>
    <col min="4123" max="4123" width="1" style="57" customWidth="1"/>
    <col min="4124" max="4124" width="19" style="57" customWidth="1"/>
    <col min="4125" max="4125" width="1" style="57" customWidth="1"/>
    <col min="4126" max="4126" width="12.7109375" style="57" customWidth="1"/>
    <col min="4127" max="4127" width="0.7109375" style="57" customWidth="1"/>
    <col min="4128" max="4128" width="11.42578125" style="57" customWidth="1"/>
    <col min="4129" max="4129" width="1" style="57" customWidth="1"/>
    <col min="4130" max="4130" width="12" style="57" customWidth="1"/>
    <col min="4131" max="4131" width="0.85546875" style="57" customWidth="1"/>
    <col min="4132" max="4133" width="0" style="57" hidden="1" customWidth="1"/>
    <col min="4134" max="4134" width="14.28515625" style="57" customWidth="1"/>
    <col min="4135" max="4135" width="0.5703125" style="57" customWidth="1"/>
    <col min="4136" max="4136" width="11.140625" style="57" customWidth="1"/>
    <col min="4137" max="4137" width="1.28515625" style="57" customWidth="1"/>
    <col min="4138" max="4138" width="9.28515625" style="57" customWidth="1"/>
    <col min="4139" max="4139" width="1" style="57" customWidth="1"/>
    <col min="4140" max="4140" width="12.42578125" style="57" customWidth="1"/>
    <col min="4141" max="4141" width="1.140625" style="57" customWidth="1"/>
    <col min="4142" max="4142" width="11.7109375" style="57" customWidth="1"/>
    <col min="4143" max="4143" width="1.140625" style="57" customWidth="1"/>
    <col min="4144" max="4144" width="9.140625" style="57"/>
    <col min="4145" max="4145" width="1.42578125" style="57" customWidth="1"/>
    <col min="4146" max="4146" width="13.85546875" style="57" customWidth="1"/>
    <col min="4147" max="4147" width="55.28515625" style="57" customWidth="1"/>
    <col min="4148" max="4148" width="2" style="57" customWidth="1"/>
    <col min="4149" max="4149" width="67.42578125" style="57" customWidth="1"/>
    <col min="4150" max="4152" width="9.140625" style="57"/>
    <col min="4153" max="4156" width="9.140625" style="57" customWidth="1"/>
    <col min="4157" max="4157" width="16.85546875" style="57" customWidth="1"/>
    <col min="4158" max="4163" width="9.140625" style="57"/>
    <col min="4164" max="4164" width="9.5703125" style="57" customWidth="1"/>
    <col min="4165" max="4167" width="0" style="57" hidden="1" customWidth="1"/>
    <col min="4168" max="4372" width="9.140625" style="57"/>
    <col min="4373" max="4373" width="2.140625" style="57" customWidth="1"/>
    <col min="4374" max="4374" width="13" style="57" customWidth="1"/>
    <col min="4375" max="4375" width="0.7109375" style="57" customWidth="1"/>
    <col min="4376" max="4376" width="14.7109375" style="57" customWidth="1"/>
    <col min="4377" max="4377" width="1.140625" style="57" customWidth="1"/>
    <col min="4378" max="4378" width="39" style="57" customWidth="1"/>
    <col min="4379" max="4379" width="1" style="57" customWidth="1"/>
    <col min="4380" max="4380" width="19" style="57" customWidth="1"/>
    <col min="4381" max="4381" width="1" style="57" customWidth="1"/>
    <col min="4382" max="4382" width="12.7109375" style="57" customWidth="1"/>
    <col min="4383" max="4383" width="0.7109375" style="57" customWidth="1"/>
    <col min="4384" max="4384" width="11.42578125" style="57" customWidth="1"/>
    <col min="4385" max="4385" width="1" style="57" customWidth="1"/>
    <col min="4386" max="4386" width="12" style="57" customWidth="1"/>
    <col min="4387" max="4387" width="0.85546875" style="57" customWidth="1"/>
    <col min="4388" max="4389" width="0" style="57" hidden="1" customWidth="1"/>
    <col min="4390" max="4390" width="14.28515625" style="57" customWidth="1"/>
    <col min="4391" max="4391" width="0.5703125" style="57" customWidth="1"/>
    <col min="4392" max="4392" width="11.140625" style="57" customWidth="1"/>
    <col min="4393" max="4393" width="1.28515625" style="57" customWidth="1"/>
    <col min="4394" max="4394" width="9.28515625" style="57" customWidth="1"/>
    <col min="4395" max="4395" width="1" style="57" customWidth="1"/>
    <col min="4396" max="4396" width="12.42578125" style="57" customWidth="1"/>
    <col min="4397" max="4397" width="1.140625" style="57" customWidth="1"/>
    <col min="4398" max="4398" width="11.7109375" style="57" customWidth="1"/>
    <col min="4399" max="4399" width="1.140625" style="57" customWidth="1"/>
    <col min="4400" max="4400" width="9.140625" style="57"/>
    <col min="4401" max="4401" width="1.42578125" style="57" customWidth="1"/>
    <col min="4402" max="4402" width="13.85546875" style="57" customWidth="1"/>
    <col min="4403" max="4403" width="55.28515625" style="57" customWidth="1"/>
    <col min="4404" max="4404" width="2" style="57" customWidth="1"/>
    <col min="4405" max="4405" width="67.42578125" style="57" customWidth="1"/>
    <col min="4406" max="4408" width="9.140625" style="57"/>
    <col min="4409" max="4412" width="9.140625" style="57" customWidth="1"/>
    <col min="4413" max="4413" width="16.85546875" style="57" customWidth="1"/>
    <col min="4414" max="4419" width="9.140625" style="57"/>
    <col min="4420" max="4420" width="9.5703125" style="57" customWidth="1"/>
    <col min="4421" max="4423" width="0" style="57" hidden="1" customWidth="1"/>
    <col min="4424" max="4628" width="9.140625" style="57"/>
    <col min="4629" max="4629" width="2.140625" style="57" customWidth="1"/>
    <col min="4630" max="4630" width="13" style="57" customWidth="1"/>
    <col min="4631" max="4631" width="0.7109375" style="57" customWidth="1"/>
    <col min="4632" max="4632" width="14.7109375" style="57" customWidth="1"/>
    <col min="4633" max="4633" width="1.140625" style="57" customWidth="1"/>
    <col min="4634" max="4634" width="39" style="57" customWidth="1"/>
    <col min="4635" max="4635" width="1" style="57" customWidth="1"/>
    <col min="4636" max="4636" width="19" style="57" customWidth="1"/>
    <col min="4637" max="4637" width="1" style="57" customWidth="1"/>
    <col min="4638" max="4638" width="12.7109375" style="57" customWidth="1"/>
    <col min="4639" max="4639" width="0.7109375" style="57" customWidth="1"/>
    <col min="4640" max="4640" width="11.42578125" style="57" customWidth="1"/>
    <col min="4641" max="4641" width="1" style="57" customWidth="1"/>
    <col min="4642" max="4642" width="12" style="57" customWidth="1"/>
    <col min="4643" max="4643" width="0.85546875" style="57" customWidth="1"/>
    <col min="4644" max="4645" width="0" style="57" hidden="1" customWidth="1"/>
    <col min="4646" max="4646" width="14.28515625" style="57" customWidth="1"/>
    <col min="4647" max="4647" width="0.5703125" style="57" customWidth="1"/>
    <col min="4648" max="4648" width="11.140625" style="57" customWidth="1"/>
    <col min="4649" max="4649" width="1.28515625" style="57" customWidth="1"/>
    <col min="4650" max="4650" width="9.28515625" style="57" customWidth="1"/>
    <col min="4651" max="4651" width="1" style="57" customWidth="1"/>
    <col min="4652" max="4652" width="12.42578125" style="57" customWidth="1"/>
    <col min="4653" max="4653" width="1.140625" style="57" customWidth="1"/>
    <col min="4654" max="4654" width="11.7109375" style="57" customWidth="1"/>
    <col min="4655" max="4655" width="1.140625" style="57" customWidth="1"/>
    <col min="4656" max="4656" width="9.140625" style="57"/>
    <col min="4657" max="4657" width="1.42578125" style="57" customWidth="1"/>
    <col min="4658" max="4658" width="13.85546875" style="57" customWidth="1"/>
    <col min="4659" max="4659" width="55.28515625" style="57" customWidth="1"/>
    <col min="4660" max="4660" width="2" style="57" customWidth="1"/>
    <col min="4661" max="4661" width="67.42578125" style="57" customWidth="1"/>
    <col min="4662" max="4664" width="9.140625" style="57"/>
    <col min="4665" max="4668" width="9.140625" style="57" customWidth="1"/>
    <col min="4669" max="4669" width="16.85546875" style="57" customWidth="1"/>
    <col min="4670" max="4675" width="9.140625" style="57"/>
    <col min="4676" max="4676" width="9.5703125" style="57" customWidth="1"/>
    <col min="4677" max="4679" width="0" style="57" hidden="1" customWidth="1"/>
    <col min="4680" max="4884" width="9.140625" style="57"/>
    <col min="4885" max="4885" width="2.140625" style="57" customWidth="1"/>
    <col min="4886" max="4886" width="13" style="57" customWidth="1"/>
    <col min="4887" max="4887" width="0.7109375" style="57" customWidth="1"/>
    <col min="4888" max="4888" width="14.7109375" style="57" customWidth="1"/>
    <col min="4889" max="4889" width="1.140625" style="57" customWidth="1"/>
    <col min="4890" max="4890" width="39" style="57" customWidth="1"/>
    <col min="4891" max="4891" width="1" style="57" customWidth="1"/>
    <col min="4892" max="4892" width="19" style="57" customWidth="1"/>
    <col min="4893" max="4893" width="1" style="57" customWidth="1"/>
    <col min="4894" max="4894" width="12.7109375" style="57" customWidth="1"/>
    <col min="4895" max="4895" width="0.7109375" style="57" customWidth="1"/>
    <col min="4896" max="4896" width="11.42578125" style="57" customWidth="1"/>
    <col min="4897" max="4897" width="1" style="57" customWidth="1"/>
    <col min="4898" max="4898" width="12" style="57" customWidth="1"/>
    <col min="4899" max="4899" width="0.85546875" style="57" customWidth="1"/>
    <col min="4900" max="4901" width="0" style="57" hidden="1" customWidth="1"/>
    <col min="4902" max="4902" width="14.28515625" style="57" customWidth="1"/>
    <col min="4903" max="4903" width="0.5703125" style="57" customWidth="1"/>
    <col min="4904" max="4904" width="11.140625" style="57" customWidth="1"/>
    <col min="4905" max="4905" width="1.28515625" style="57" customWidth="1"/>
    <col min="4906" max="4906" width="9.28515625" style="57" customWidth="1"/>
    <col min="4907" max="4907" width="1" style="57" customWidth="1"/>
    <col min="4908" max="4908" width="12.42578125" style="57" customWidth="1"/>
    <col min="4909" max="4909" width="1.140625" style="57" customWidth="1"/>
    <col min="4910" max="4910" width="11.7109375" style="57" customWidth="1"/>
    <col min="4911" max="4911" width="1.140625" style="57" customWidth="1"/>
    <col min="4912" max="4912" width="9.140625" style="57"/>
    <col min="4913" max="4913" width="1.42578125" style="57" customWidth="1"/>
    <col min="4914" max="4914" width="13.85546875" style="57" customWidth="1"/>
    <col min="4915" max="4915" width="55.28515625" style="57" customWidth="1"/>
    <col min="4916" max="4916" width="2" style="57" customWidth="1"/>
    <col min="4917" max="4917" width="67.42578125" style="57" customWidth="1"/>
    <col min="4918" max="4920" width="9.140625" style="57"/>
    <col min="4921" max="4924" width="9.140625" style="57" customWidth="1"/>
    <col min="4925" max="4925" width="16.85546875" style="57" customWidth="1"/>
    <col min="4926" max="4931" width="9.140625" style="57"/>
    <col min="4932" max="4932" width="9.5703125" style="57" customWidth="1"/>
    <col min="4933" max="4935" width="0" style="57" hidden="1" customWidth="1"/>
    <col min="4936" max="5140" width="9.140625" style="57"/>
    <col min="5141" max="5141" width="2.140625" style="57" customWidth="1"/>
    <col min="5142" max="5142" width="13" style="57" customWidth="1"/>
    <col min="5143" max="5143" width="0.7109375" style="57" customWidth="1"/>
    <col min="5144" max="5144" width="14.7109375" style="57" customWidth="1"/>
    <col min="5145" max="5145" width="1.140625" style="57" customWidth="1"/>
    <col min="5146" max="5146" width="39" style="57" customWidth="1"/>
    <col min="5147" max="5147" width="1" style="57" customWidth="1"/>
    <col min="5148" max="5148" width="19" style="57" customWidth="1"/>
    <col min="5149" max="5149" width="1" style="57" customWidth="1"/>
    <col min="5150" max="5150" width="12.7109375" style="57" customWidth="1"/>
    <col min="5151" max="5151" width="0.7109375" style="57" customWidth="1"/>
    <col min="5152" max="5152" width="11.42578125" style="57" customWidth="1"/>
    <col min="5153" max="5153" width="1" style="57" customWidth="1"/>
    <col min="5154" max="5154" width="12" style="57" customWidth="1"/>
    <col min="5155" max="5155" width="0.85546875" style="57" customWidth="1"/>
    <col min="5156" max="5157" width="0" style="57" hidden="1" customWidth="1"/>
    <col min="5158" max="5158" width="14.28515625" style="57" customWidth="1"/>
    <col min="5159" max="5159" width="0.5703125" style="57" customWidth="1"/>
    <col min="5160" max="5160" width="11.140625" style="57" customWidth="1"/>
    <col min="5161" max="5161" width="1.28515625" style="57" customWidth="1"/>
    <col min="5162" max="5162" width="9.28515625" style="57" customWidth="1"/>
    <col min="5163" max="5163" width="1" style="57" customWidth="1"/>
    <col min="5164" max="5164" width="12.42578125" style="57" customWidth="1"/>
    <col min="5165" max="5165" width="1.140625" style="57" customWidth="1"/>
    <col min="5166" max="5166" width="11.7109375" style="57" customWidth="1"/>
    <col min="5167" max="5167" width="1.140625" style="57" customWidth="1"/>
    <col min="5168" max="5168" width="9.140625" style="57"/>
    <col min="5169" max="5169" width="1.42578125" style="57" customWidth="1"/>
    <col min="5170" max="5170" width="13.85546875" style="57" customWidth="1"/>
    <col min="5171" max="5171" width="55.28515625" style="57" customWidth="1"/>
    <col min="5172" max="5172" width="2" style="57" customWidth="1"/>
    <col min="5173" max="5173" width="67.42578125" style="57" customWidth="1"/>
    <col min="5174" max="5176" width="9.140625" style="57"/>
    <col min="5177" max="5180" width="9.140625" style="57" customWidth="1"/>
    <col min="5181" max="5181" width="16.85546875" style="57" customWidth="1"/>
    <col min="5182" max="5187" width="9.140625" style="57"/>
    <col min="5188" max="5188" width="9.5703125" style="57" customWidth="1"/>
    <col min="5189" max="5191" width="0" style="57" hidden="1" customWidth="1"/>
    <col min="5192" max="5396" width="9.140625" style="57"/>
    <col min="5397" max="5397" width="2.140625" style="57" customWidth="1"/>
    <col min="5398" max="5398" width="13" style="57" customWidth="1"/>
    <col min="5399" max="5399" width="0.7109375" style="57" customWidth="1"/>
    <col min="5400" max="5400" width="14.7109375" style="57" customWidth="1"/>
    <col min="5401" max="5401" width="1.140625" style="57" customWidth="1"/>
    <col min="5402" max="5402" width="39" style="57" customWidth="1"/>
    <col min="5403" max="5403" width="1" style="57" customWidth="1"/>
    <col min="5404" max="5404" width="19" style="57" customWidth="1"/>
    <col min="5405" max="5405" width="1" style="57" customWidth="1"/>
    <col min="5406" max="5406" width="12.7109375" style="57" customWidth="1"/>
    <col min="5407" max="5407" width="0.7109375" style="57" customWidth="1"/>
    <col min="5408" max="5408" width="11.42578125" style="57" customWidth="1"/>
    <col min="5409" max="5409" width="1" style="57" customWidth="1"/>
    <col min="5410" max="5410" width="12" style="57" customWidth="1"/>
    <col min="5411" max="5411" width="0.85546875" style="57" customWidth="1"/>
    <col min="5412" max="5413" width="0" style="57" hidden="1" customWidth="1"/>
    <col min="5414" max="5414" width="14.28515625" style="57" customWidth="1"/>
    <col min="5415" max="5415" width="0.5703125" style="57" customWidth="1"/>
    <col min="5416" max="5416" width="11.140625" style="57" customWidth="1"/>
    <col min="5417" max="5417" width="1.28515625" style="57" customWidth="1"/>
    <col min="5418" max="5418" width="9.28515625" style="57" customWidth="1"/>
    <col min="5419" max="5419" width="1" style="57" customWidth="1"/>
    <col min="5420" max="5420" width="12.42578125" style="57" customWidth="1"/>
    <col min="5421" max="5421" width="1.140625" style="57" customWidth="1"/>
    <col min="5422" max="5422" width="11.7109375" style="57" customWidth="1"/>
    <col min="5423" max="5423" width="1.140625" style="57" customWidth="1"/>
    <col min="5424" max="5424" width="9.140625" style="57"/>
    <col min="5425" max="5425" width="1.42578125" style="57" customWidth="1"/>
    <col min="5426" max="5426" width="13.85546875" style="57" customWidth="1"/>
    <col min="5427" max="5427" width="55.28515625" style="57" customWidth="1"/>
    <col min="5428" max="5428" width="2" style="57" customWidth="1"/>
    <col min="5429" max="5429" width="67.42578125" style="57" customWidth="1"/>
    <col min="5430" max="5432" width="9.140625" style="57"/>
    <col min="5433" max="5436" width="9.140625" style="57" customWidth="1"/>
    <col min="5437" max="5437" width="16.85546875" style="57" customWidth="1"/>
    <col min="5438" max="5443" width="9.140625" style="57"/>
    <col min="5444" max="5444" width="9.5703125" style="57" customWidth="1"/>
    <col min="5445" max="5447" width="0" style="57" hidden="1" customWidth="1"/>
    <col min="5448" max="5652" width="9.140625" style="57"/>
    <col min="5653" max="5653" width="2.140625" style="57" customWidth="1"/>
    <col min="5654" max="5654" width="13" style="57" customWidth="1"/>
    <col min="5655" max="5655" width="0.7109375" style="57" customWidth="1"/>
    <col min="5656" max="5656" width="14.7109375" style="57" customWidth="1"/>
    <col min="5657" max="5657" width="1.140625" style="57" customWidth="1"/>
    <col min="5658" max="5658" width="39" style="57" customWidth="1"/>
    <col min="5659" max="5659" width="1" style="57" customWidth="1"/>
    <col min="5660" max="5660" width="19" style="57" customWidth="1"/>
    <col min="5661" max="5661" width="1" style="57" customWidth="1"/>
    <col min="5662" max="5662" width="12.7109375" style="57" customWidth="1"/>
    <col min="5663" max="5663" width="0.7109375" style="57" customWidth="1"/>
    <col min="5664" max="5664" width="11.42578125" style="57" customWidth="1"/>
    <col min="5665" max="5665" width="1" style="57" customWidth="1"/>
    <col min="5666" max="5666" width="12" style="57" customWidth="1"/>
    <col min="5667" max="5667" width="0.85546875" style="57" customWidth="1"/>
    <col min="5668" max="5669" width="0" style="57" hidden="1" customWidth="1"/>
    <col min="5670" max="5670" width="14.28515625" style="57" customWidth="1"/>
    <col min="5671" max="5671" width="0.5703125" style="57" customWidth="1"/>
    <col min="5672" max="5672" width="11.140625" style="57" customWidth="1"/>
    <col min="5673" max="5673" width="1.28515625" style="57" customWidth="1"/>
    <col min="5674" max="5674" width="9.28515625" style="57" customWidth="1"/>
    <col min="5675" max="5675" width="1" style="57" customWidth="1"/>
    <col min="5676" max="5676" width="12.42578125" style="57" customWidth="1"/>
    <col min="5677" max="5677" width="1.140625" style="57" customWidth="1"/>
    <col min="5678" max="5678" width="11.7109375" style="57" customWidth="1"/>
    <col min="5679" max="5679" width="1.140625" style="57" customWidth="1"/>
    <col min="5680" max="5680" width="9.140625" style="57"/>
    <col min="5681" max="5681" width="1.42578125" style="57" customWidth="1"/>
    <col min="5682" max="5682" width="13.85546875" style="57" customWidth="1"/>
    <col min="5683" max="5683" width="55.28515625" style="57" customWidth="1"/>
    <col min="5684" max="5684" width="2" style="57" customWidth="1"/>
    <col min="5685" max="5685" width="67.42578125" style="57" customWidth="1"/>
    <col min="5686" max="5688" width="9.140625" style="57"/>
    <col min="5689" max="5692" width="9.140625" style="57" customWidth="1"/>
    <col min="5693" max="5693" width="16.85546875" style="57" customWidth="1"/>
    <col min="5694" max="5699" width="9.140625" style="57"/>
    <col min="5700" max="5700" width="9.5703125" style="57" customWidth="1"/>
    <col min="5701" max="5703" width="0" style="57" hidden="1" customWidth="1"/>
    <col min="5704" max="5908" width="9.140625" style="57"/>
    <col min="5909" max="5909" width="2.140625" style="57" customWidth="1"/>
    <col min="5910" max="5910" width="13" style="57" customWidth="1"/>
    <col min="5911" max="5911" width="0.7109375" style="57" customWidth="1"/>
    <col min="5912" max="5912" width="14.7109375" style="57" customWidth="1"/>
    <col min="5913" max="5913" width="1.140625" style="57" customWidth="1"/>
    <col min="5914" max="5914" width="39" style="57" customWidth="1"/>
    <col min="5915" max="5915" width="1" style="57" customWidth="1"/>
    <col min="5916" max="5916" width="19" style="57" customWidth="1"/>
    <col min="5917" max="5917" width="1" style="57" customWidth="1"/>
    <col min="5918" max="5918" width="12.7109375" style="57" customWidth="1"/>
    <col min="5919" max="5919" width="0.7109375" style="57" customWidth="1"/>
    <col min="5920" max="5920" width="11.42578125" style="57" customWidth="1"/>
    <col min="5921" max="5921" width="1" style="57" customWidth="1"/>
    <col min="5922" max="5922" width="12" style="57" customWidth="1"/>
    <col min="5923" max="5923" width="0.85546875" style="57" customWidth="1"/>
    <col min="5924" max="5925" width="0" style="57" hidden="1" customWidth="1"/>
    <col min="5926" max="5926" width="14.28515625" style="57" customWidth="1"/>
    <col min="5927" max="5927" width="0.5703125" style="57" customWidth="1"/>
    <col min="5928" max="5928" width="11.140625" style="57" customWidth="1"/>
    <col min="5929" max="5929" width="1.28515625" style="57" customWidth="1"/>
    <col min="5930" max="5930" width="9.28515625" style="57" customWidth="1"/>
    <col min="5931" max="5931" width="1" style="57" customWidth="1"/>
    <col min="5932" max="5932" width="12.42578125" style="57" customWidth="1"/>
    <col min="5933" max="5933" width="1.140625" style="57" customWidth="1"/>
    <col min="5934" max="5934" width="11.7109375" style="57" customWidth="1"/>
    <col min="5935" max="5935" width="1.140625" style="57" customWidth="1"/>
    <col min="5936" max="5936" width="9.140625" style="57"/>
    <col min="5937" max="5937" width="1.42578125" style="57" customWidth="1"/>
    <col min="5938" max="5938" width="13.85546875" style="57" customWidth="1"/>
    <col min="5939" max="5939" width="55.28515625" style="57" customWidth="1"/>
    <col min="5940" max="5940" width="2" style="57" customWidth="1"/>
    <col min="5941" max="5941" width="67.42578125" style="57" customWidth="1"/>
    <col min="5942" max="5944" width="9.140625" style="57"/>
    <col min="5945" max="5948" width="9.140625" style="57" customWidth="1"/>
    <col min="5949" max="5949" width="16.85546875" style="57" customWidth="1"/>
    <col min="5950" max="5955" width="9.140625" style="57"/>
    <col min="5956" max="5956" width="9.5703125" style="57" customWidth="1"/>
    <col min="5957" max="5959" width="0" style="57" hidden="1" customWidth="1"/>
    <col min="5960" max="6164" width="9.140625" style="57"/>
    <col min="6165" max="6165" width="2.140625" style="57" customWidth="1"/>
    <col min="6166" max="6166" width="13" style="57" customWidth="1"/>
    <col min="6167" max="6167" width="0.7109375" style="57" customWidth="1"/>
    <col min="6168" max="6168" width="14.7109375" style="57" customWidth="1"/>
    <col min="6169" max="6169" width="1.140625" style="57" customWidth="1"/>
    <col min="6170" max="6170" width="39" style="57" customWidth="1"/>
    <col min="6171" max="6171" width="1" style="57" customWidth="1"/>
    <col min="6172" max="6172" width="19" style="57" customWidth="1"/>
    <col min="6173" max="6173" width="1" style="57" customWidth="1"/>
    <col min="6174" max="6174" width="12.7109375" style="57" customWidth="1"/>
    <col min="6175" max="6175" width="0.7109375" style="57" customWidth="1"/>
    <col min="6176" max="6176" width="11.42578125" style="57" customWidth="1"/>
    <col min="6177" max="6177" width="1" style="57" customWidth="1"/>
    <col min="6178" max="6178" width="12" style="57" customWidth="1"/>
    <col min="6179" max="6179" width="0.85546875" style="57" customWidth="1"/>
    <col min="6180" max="6181" width="0" style="57" hidden="1" customWidth="1"/>
    <col min="6182" max="6182" width="14.28515625" style="57" customWidth="1"/>
    <col min="6183" max="6183" width="0.5703125" style="57" customWidth="1"/>
    <col min="6184" max="6184" width="11.140625" style="57" customWidth="1"/>
    <col min="6185" max="6185" width="1.28515625" style="57" customWidth="1"/>
    <col min="6186" max="6186" width="9.28515625" style="57" customWidth="1"/>
    <col min="6187" max="6187" width="1" style="57" customWidth="1"/>
    <col min="6188" max="6188" width="12.42578125" style="57" customWidth="1"/>
    <col min="6189" max="6189" width="1.140625" style="57" customWidth="1"/>
    <col min="6190" max="6190" width="11.7109375" style="57" customWidth="1"/>
    <col min="6191" max="6191" width="1.140625" style="57" customWidth="1"/>
    <col min="6192" max="6192" width="9.140625" style="57"/>
    <col min="6193" max="6193" width="1.42578125" style="57" customWidth="1"/>
    <col min="6194" max="6194" width="13.85546875" style="57" customWidth="1"/>
    <col min="6195" max="6195" width="55.28515625" style="57" customWidth="1"/>
    <col min="6196" max="6196" width="2" style="57" customWidth="1"/>
    <col min="6197" max="6197" width="67.42578125" style="57" customWidth="1"/>
    <col min="6198" max="6200" width="9.140625" style="57"/>
    <col min="6201" max="6204" width="9.140625" style="57" customWidth="1"/>
    <col min="6205" max="6205" width="16.85546875" style="57" customWidth="1"/>
    <col min="6206" max="6211" width="9.140625" style="57"/>
    <col min="6212" max="6212" width="9.5703125" style="57" customWidth="1"/>
    <col min="6213" max="6215" width="0" style="57" hidden="1" customWidth="1"/>
    <col min="6216" max="6420" width="9.140625" style="57"/>
    <col min="6421" max="6421" width="2.140625" style="57" customWidth="1"/>
    <col min="6422" max="6422" width="13" style="57" customWidth="1"/>
    <col min="6423" max="6423" width="0.7109375" style="57" customWidth="1"/>
    <col min="6424" max="6424" width="14.7109375" style="57" customWidth="1"/>
    <col min="6425" max="6425" width="1.140625" style="57" customWidth="1"/>
    <col min="6426" max="6426" width="39" style="57" customWidth="1"/>
    <col min="6427" max="6427" width="1" style="57" customWidth="1"/>
    <col min="6428" max="6428" width="19" style="57" customWidth="1"/>
    <col min="6429" max="6429" width="1" style="57" customWidth="1"/>
    <col min="6430" max="6430" width="12.7109375" style="57" customWidth="1"/>
    <col min="6431" max="6431" width="0.7109375" style="57" customWidth="1"/>
    <col min="6432" max="6432" width="11.42578125" style="57" customWidth="1"/>
    <col min="6433" max="6433" width="1" style="57" customWidth="1"/>
    <col min="6434" max="6434" width="12" style="57" customWidth="1"/>
    <col min="6435" max="6435" width="0.85546875" style="57" customWidth="1"/>
    <col min="6436" max="6437" width="0" style="57" hidden="1" customWidth="1"/>
    <col min="6438" max="6438" width="14.28515625" style="57" customWidth="1"/>
    <col min="6439" max="6439" width="0.5703125" style="57" customWidth="1"/>
    <col min="6440" max="6440" width="11.140625" style="57" customWidth="1"/>
    <col min="6441" max="6441" width="1.28515625" style="57" customWidth="1"/>
    <col min="6442" max="6442" width="9.28515625" style="57" customWidth="1"/>
    <col min="6443" max="6443" width="1" style="57" customWidth="1"/>
    <col min="6444" max="6444" width="12.42578125" style="57" customWidth="1"/>
    <col min="6445" max="6445" width="1.140625" style="57" customWidth="1"/>
    <col min="6446" max="6446" width="11.7109375" style="57" customWidth="1"/>
    <col min="6447" max="6447" width="1.140625" style="57" customWidth="1"/>
    <col min="6448" max="6448" width="9.140625" style="57"/>
    <col min="6449" max="6449" width="1.42578125" style="57" customWidth="1"/>
    <col min="6450" max="6450" width="13.85546875" style="57" customWidth="1"/>
    <col min="6451" max="6451" width="55.28515625" style="57" customWidth="1"/>
    <col min="6452" max="6452" width="2" style="57" customWidth="1"/>
    <col min="6453" max="6453" width="67.42578125" style="57" customWidth="1"/>
    <col min="6454" max="6456" width="9.140625" style="57"/>
    <col min="6457" max="6460" width="9.140625" style="57" customWidth="1"/>
    <col min="6461" max="6461" width="16.85546875" style="57" customWidth="1"/>
    <col min="6462" max="6467" width="9.140625" style="57"/>
    <col min="6468" max="6468" width="9.5703125" style="57" customWidth="1"/>
    <col min="6469" max="6471" width="0" style="57" hidden="1" customWidth="1"/>
    <col min="6472" max="6676" width="9.140625" style="57"/>
    <col min="6677" max="6677" width="2.140625" style="57" customWidth="1"/>
    <col min="6678" max="6678" width="13" style="57" customWidth="1"/>
    <col min="6679" max="6679" width="0.7109375" style="57" customWidth="1"/>
    <col min="6680" max="6680" width="14.7109375" style="57" customWidth="1"/>
    <col min="6681" max="6681" width="1.140625" style="57" customWidth="1"/>
    <col min="6682" max="6682" width="39" style="57" customWidth="1"/>
    <col min="6683" max="6683" width="1" style="57" customWidth="1"/>
    <col min="6684" max="6684" width="19" style="57" customWidth="1"/>
    <col min="6685" max="6685" width="1" style="57" customWidth="1"/>
    <col min="6686" max="6686" width="12.7109375" style="57" customWidth="1"/>
    <col min="6687" max="6687" width="0.7109375" style="57" customWidth="1"/>
    <col min="6688" max="6688" width="11.42578125" style="57" customWidth="1"/>
    <col min="6689" max="6689" width="1" style="57" customWidth="1"/>
    <col min="6690" max="6690" width="12" style="57" customWidth="1"/>
    <col min="6691" max="6691" width="0.85546875" style="57" customWidth="1"/>
    <col min="6692" max="6693" width="0" style="57" hidden="1" customWidth="1"/>
    <col min="6694" max="6694" width="14.28515625" style="57" customWidth="1"/>
    <col min="6695" max="6695" width="0.5703125" style="57" customWidth="1"/>
    <col min="6696" max="6696" width="11.140625" style="57" customWidth="1"/>
    <col min="6697" max="6697" width="1.28515625" style="57" customWidth="1"/>
    <col min="6698" max="6698" width="9.28515625" style="57" customWidth="1"/>
    <col min="6699" max="6699" width="1" style="57" customWidth="1"/>
    <col min="6700" max="6700" width="12.42578125" style="57" customWidth="1"/>
    <col min="6701" max="6701" width="1.140625" style="57" customWidth="1"/>
    <col min="6702" max="6702" width="11.7109375" style="57" customWidth="1"/>
    <col min="6703" max="6703" width="1.140625" style="57" customWidth="1"/>
    <col min="6704" max="6704" width="9.140625" style="57"/>
    <col min="6705" max="6705" width="1.42578125" style="57" customWidth="1"/>
    <col min="6706" max="6706" width="13.85546875" style="57" customWidth="1"/>
    <col min="6707" max="6707" width="55.28515625" style="57" customWidth="1"/>
    <col min="6708" max="6708" width="2" style="57" customWidth="1"/>
    <col min="6709" max="6709" width="67.42578125" style="57" customWidth="1"/>
    <col min="6710" max="6712" width="9.140625" style="57"/>
    <col min="6713" max="6716" width="9.140625" style="57" customWidth="1"/>
    <col min="6717" max="6717" width="16.85546875" style="57" customWidth="1"/>
    <col min="6718" max="6723" width="9.140625" style="57"/>
    <col min="6724" max="6724" width="9.5703125" style="57" customWidth="1"/>
    <col min="6725" max="6727" width="0" style="57" hidden="1" customWidth="1"/>
    <col min="6728" max="6932" width="9.140625" style="57"/>
    <col min="6933" max="6933" width="2.140625" style="57" customWidth="1"/>
    <col min="6934" max="6934" width="13" style="57" customWidth="1"/>
    <col min="6935" max="6935" width="0.7109375" style="57" customWidth="1"/>
    <col min="6936" max="6936" width="14.7109375" style="57" customWidth="1"/>
    <col min="6937" max="6937" width="1.140625" style="57" customWidth="1"/>
    <col min="6938" max="6938" width="39" style="57" customWidth="1"/>
    <col min="6939" max="6939" width="1" style="57" customWidth="1"/>
    <col min="6940" max="6940" width="19" style="57" customWidth="1"/>
    <col min="6941" max="6941" width="1" style="57" customWidth="1"/>
    <col min="6942" max="6942" width="12.7109375" style="57" customWidth="1"/>
    <col min="6943" max="6943" width="0.7109375" style="57" customWidth="1"/>
    <col min="6944" max="6944" width="11.42578125" style="57" customWidth="1"/>
    <col min="6945" max="6945" width="1" style="57" customWidth="1"/>
    <col min="6946" max="6946" width="12" style="57" customWidth="1"/>
    <col min="6947" max="6947" width="0.85546875" style="57" customWidth="1"/>
    <col min="6948" max="6949" width="0" style="57" hidden="1" customWidth="1"/>
    <col min="6950" max="6950" width="14.28515625" style="57" customWidth="1"/>
    <col min="6951" max="6951" width="0.5703125" style="57" customWidth="1"/>
    <col min="6952" max="6952" width="11.140625" style="57" customWidth="1"/>
    <col min="6953" max="6953" width="1.28515625" style="57" customWidth="1"/>
    <col min="6954" max="6954" width="9.28515625" style="57" customWidth="1"/>
    <col min="6955" max="6955" width="1" style="57" customWidth="1"/>
    <col min="6956" max="6956" width="12.42578125" style="57" customWidth="1"/>
    <col min="6957" max="6957" width="1.140625" style="57" customWidth="1"/>
    <col min="6958" max="6958" width="11.7109375" style="57" customWidth="1"/>
    <col min="6959" max="6959" width="1.140625" style="57" customWidth="1"/>
    <col min="6960" max="6960" width="9.140625" style="57"/>
    <col min="6961" max="6961" width="1.42578125" style="57" customWidth="1"/>
    <col min="6962" max="6962" width="13.85546875" style="57" customWidth="1"/>
    <col min="6963" max="6963" width="55.28515625" style="57" customWidth="1"/>
    <col min="6964" max="6964" width="2" style="57" customWidth="1"/>
    <col min="6965" max="6965" width="67.42578125" style="57" customWidth="1"/>
    <col min="6966" max="6968" width="9.140625" style="57"/>
    <col min="6969" max="6972" width="9.140625" style="57" customWidth="1"/>
    <col min="6973" max="6973" width="16.85546875" style="57" customWidth="1"/>
    <col min="6974" max="6979" width="9.140625" style="57"/>
    <col min="6980" max="6980" width="9.5703125" style="57" customWidth="1"/>
    <col min="6981" max="6983" width="0" style="57" hidden="1" customWidth="1"/>
    <col min="6984" max="7188" width="9.140625" style="57"/>
    <col min="7189" max="7189" width="2.140625" style="57" customWidth="1"/>
    <col min="7190" max="7190" width="13" style="57" customWidth="1"/>
    <col min="7191" max="7191" width="0.7109375" style="57" customWidth="1"/>
    <col min="7192" max="7192" width="14.7109375" style="57" customWidth="1"/>
    <col min="7193" max="7193" width="1.140625" style="57" customWidth="1"/>
    <col min="7194" max="7194" width="39" style="57" customWidth="1"/>
    <col min="7195" max="7195" width="1" style="57" customWidth="1"/>
    <col min="7196" max="7196" width="19" style="57" customWidth="1"/>
    <col min="7197" max="7197" width="1" style="57" customWidth="1"/>
    <col min="7198" max="7198" width="12.7109375" style="57" customWidth="1"/>
    <col min="7199" max="7199" width="0.7109375" style="57" customWidth="1"/>
    <col min="7200" max="7200" width="11.42578125" style="57" customWidth="1"/>
    <col min="7201" max="7201" width="1" style="57" customWidth="1"/>
    <col min="7202" max="7202" width="12" style="57" customWidth="1"/>
    <col min="7203" max="7203" width="0.85546875" style="57" customWidth="1"/>
    <col min="7204" max="7205" width="0" style="57" hidden="1" customWidth="1"/>
    <col min="7206" max="7206" width="14.28515625" style="57" customWidth="1"/>
    <col min="7207" max="7207" width="0.5703125" style="57" customWidth="1"/>
    <col min="7208" max="7208" width="11.140625" style="57" customWidth="1"/>
    <col min="7209" max="7209" width="1.28515625" style="57" customWidth="1"/>
    <col min="7210" max="7210" width="9.28515625" style="57" customWidth="1"/>
    <col min="7211" max="7211" width="1" style="57" customWidth="1"/>
    <col min="7212" max="7212" width="12.42578125" style="57" customWidth="1"/>
    <col min="7213" max="7213" width="1.140625" style="57" customWidth="1"/>
    <col min="7214" max="7214" width="11.7109375" style="57" customWidth="1"/>
    <col min="7215" max="7215" width="1.140625" style="57" customWidth="1"/>
    <col min="7216" max="7216" width="9.140625" style="57"/>
    <col min="7217" max="7217" width="1.42578125" style="57" customWidth="1"/>
    <col min="7218" max="7218" width="13.85546875" style="57" customWidth="1"/>
    <col min="7219" max="7219" width="55.28515625" style="57" customWidth="1"/>
    <col min="7220" max="7220" width="2" style="57" customWidth="1"/>
    <col min="7221" max="7221" width="67.42578125" style="57" customWidth="1"/>
    <col min="7222" max="7224" width="9.140625" style="57"/>
    <col min="7225" max="7228" width="9.140625" style="57" customWidth="1"/>
    <col min="7229" max="7229" width="16.85546875" style="57" customWidth="1"/>
    <col min="7230" max="7235" width="9.140625" style="57"/>
    <col min="7236" max="7236" width="9.5703125" style="57" customWidth="1"/>
    <col min="7237" max="7239" width="0" style="57" hidden="1" customWidth="1"/>
    <col min="7240" max="7444" width="9.140625" style="57"/>
    <col min="7445" max="7445" width="2.140625" style="57" customWidth="1"/>
    <col min="7446" max="7446" width="13" style="57" customWidth="1"/>
    <col min="7447" max="7447" width="0.7109375" style="57" customWidth="1"/>
    <col min="7448" max="7448" width="14.7109375" style="57" customWidth="1"/>
    <col min="7449" max="7449" width="1.140625" style="57" customWidth="1"/>
    <col min="7450" max="7450" width="39" style="57" customWidth="1"/>
    <col min="7451" max="7451" width="1" style="57" customWidth="1"/>
    <col min="7452" max="7452" width="19" style="57" customWidth="1"/>
    <col min="7453" max="7453" width="1" style="57" customWidth="1"/>
    <col min="7454" max="7454" width="12.7109375" style="57" customWidth="1"/>
    <col min="7455" max="7455" width="0.7109375" style="57" customWidth="1"/>
    <col min="7456" max="7456" width="11.42578125" style="57" customWidth="1"/>
    <col min="7457" max="7457" width="1" style="57" customWidth="1"/>
    <col min="7458" max="7458" width="12" style="57" customWidth="1"/>
    <col min="7459" max="7459" width="0.85546875" style="57" customWidth="1"/>
    <col min="7460" max="7461" width="0" style="57" hidden="1" customWidth="1"/>
    <col min="7462" max="7462" width="14.28515625" style="57" customWidth="1"/>
    <col min="7463" max="7463" width="0.5703125" style="57" customWidth="1"/>
    <col min="7464" max="7464" width="11.140625" style="57" customWidth="1"/>
    <col min="7465" max="7465" width="1.28515625" style="57" customWidth="1"/>
    <col min="7466" max="7466" width="9.28515625" style="57" customWidth="1"/>
    <col min="7467" max="7467" width="1" style="57" customWidth="1"/>
    <col min="7468" max="7468" width="12.42578125" style="57" customWidth="1"/>
    <col min="7469" max="7469" width="1.140625" style="57" customWidth="1"/>
    <col min="7470" max="7470" width="11.7109375" style="57" customWidth="1"/>
    <col min="7471" max="7471" width="1.140625" style="57" customWidth="1"/>
    <col min="7472" max="7472" width="9.140625" style="57"/>
    <col min="7473" max="7473" width="1.42578125" style="57" customWidth="1"/>
    <col min="7474" max="7474" width="13.85546875" style="57" customWidth="1"/>
    <col min="7475" max="7475" width="55.28515625" style="57" customWidth="1"/>
    <col min="7476" max="7476" width="2" style="57" customWidth="1"/>
    <col min="7477" max="7477" width="67.42578125" style="57" customWidth="1"/>
    <col min="7478" max="7480" width="9.140625" style="57"/>
    <col min="7481" max="7484" width="9.140625" style="57" customWidth="1"/>
    <col min="7485" max="7485" width="16.85546875" style="57" customWidth="1"/>
    <col min="7486" max="7491" width="9.140625" style="57"/>
    <col min="7492" max="7492" width="9.5703125" style="57" customWidth="1"/>
    <col min="7493" max="7495" width="0" style="57" hidden="1" customWidth="1"/>
    <col min="7496" max="7700" width="9.140625" style="57"/>
    <col min="7701" max="7701" width="2.140625" style="57" customWidth="1"/>
    <col min="7702" max="7702" width="13" style="57" customWidth="1"/>
    <col min="7703" max="7703" width="0.7109375" style="57" customWidth="1"/>
    <col min="7704" max="7704" width="14.7109375" style="57" customWidth="1"/>
    <col min="7705" max="7705" width="1.140625" style="57" customWidth="1"/>
    <col min="7706" max="7706" width="39" style="57" customWidth="1"/>
    <col min="7707" max="7707" width="1" style="57" customWidth="1"/>
    <col min="7708" max="7708" width="19" style="57" customWidth="1"/>
    <col min="7709" max="7709" width="1" style="57" customWidth="1"/>
    <col min="7710" max="7710" width="12.7109375" style="57" customWidth="1"/>
    <col min="7711" max="7711" width="0.7109375" style="57" customWidth="1"/>
    <col min="7712" max="7712" width="11.42578125" style="57" customWidth="1"/>
    <col min="7713" max="7713" width="1" style="57" customWidth="1"/>
    <col min="7714" max="7714" width="12" style="57" customWidth="1"/>
    <col min="7715" max="7715" width="0.85546875" style="57" customWidth="1"/>
    <col min="7716" max="7717" width="0" style="57" hidden="1" customWidth="1"/>
    <col min="7718" max="7718" width="14.28515625" style="57" customWidth="1"/>
    <col min="7719" max="7719" width="0.5703125" style="57" customWidth="1"/>
    <col min="7720" max="7720" width="11.140625" style="57" customWidth="1"/>
    <col min="7721" max="7721" width="1.28515625" style="57" customWidth="1"/>
    <col min="7722" max="7722" width="9.28515625" style="57" customWidth="1"/>
    <col min="7723" max="7723" width="1" style="57" customWidth="1"/>
    <col min="7724" max="7724" width="12.42578125" style="57" customWidth="1"/>
    <col min="7725" max="7725" width="1.140625" style="57" customWidth="1"/>
    <col min="7726" max="7726" width="11.7109375" style="57" customWidth="1"/>
    <col min="7727" max="7727" width="1.140625" style="57" customWidth="1"/>
    <col min="7728" max="7728" width="9.140625" style="57"/>
    <col min="7729" max="7729" width="1.42578125" style="57" customWidth="1"/>
    <col min="7730" max="7730" width="13.85546875" style="57" customWidth="1"/>
    <col min="7731" max="7731" width="55.28515625" style="57" customWidth="1"/>
    <col min="7732" max="7732" width="2" style="57" customWidth="1"/>
    <col min="7733" max="7733" width="67.42578125" style="57" customWidth="1"/>
    <col min="7734" max="7736" width="9.140625" style="57"/>
    <col min="7737" max="7740" width="9.140625" style="57" customWidth="1"/>
    <col min="7741" max="7741" width="16.85546875" style="57" customWidth="1"/>
    <col min="7742" max="7747" width="9.140625" style="57"/>
    <col min="7748" max="7748" width="9.5703125" style="57" customWidth="1"/>
    <col min="7749" max="7751" width="0" style="57" hidden="1" customWidth="1"/>
    <col min="7752" max="7956" width="9.140625" style="57"/>
    <col min="7957" max="7957" width="2.140625" style="57" customWidth="1"/>
    <col min="7958" max="7958" width="13" style="57" customWidth="1"/>
    <col min="7959" max="7959" width="0.7109375" style="57" customWidth="1"/>
    <col min="7960" max="7960" width="14.7109375" style="57" customWidth="1"/>
    <col min="7961" max="7961" width="1.140625" style="57" customWidth="1"/>
    <col min="7962" max="7962" width="39" style="57" customWidth="1"/>
    <col min="7963" max="7963" width="1" style="57" customWidth="1"/>
    <col min="7964" max="7964" width="19" style="57" customWidth="1"/>
    <col min="7965" max="7965" width="1" style="57" customWidth="1"/>
    <col min="7966" max="7966" width="12.7109375" style="57" customWidth="1"/>
    <col min="7967" max="7967" width="0.7109375" style="57" customWidth="1"/>
    <col min="7968" max="7968" width="11.42578125" style="57" customWidth="1"/>
    <col min="7969" max="7969" width="1" style="57" customWidth="1"/>
    <col min="7970" max="7970" width="12" style="57" customWidth="1"/>
    <col min="7971" max="7971" width="0.85546875" style="57" customWidth="1"/>
    <col min="7972" max="7973" width="0" style="57" hidden="1" customWidth="1"/>
    <col min="7974" max="7974" width="14.28515625" style="57" customWidth="1"/>
    <col min="7975" max="7975" width="0.5703125" style="57" customWidth="1"/>
    <col min="7976" max="7976" width="11.140625" style="57" customWidth="1"/>
    <col min="7977" max="7977" width="1.28515625" style="57" customWidth="1"/>
    <col min="7978" max="7978" width="9.28515625" style="57" customWidth="1"/>
    <col min="7979" max="7979" width="1" style="57" customWidth="1"/>
    <col min="7980" max="7980" width="12.42578125" style="57" customWidth="1"/>
    <col min="7981" max="7981" width="1.140625" style="57" customWidth="1"/>
    <col min="7982" max="7982" width="11.7109375" style="57" customWidth="1"/>
    <col min="7983" max="7983" width="1.140625" style="57" customWidth="1"/>
    <col min="7984" max="7984" width="9.140625" style="57"/>
    <col min="7985" max="7985" width="1.42578125" style="57" customWidth="1"/>
    <col min="7986" max="7986" width="13.85546875" style="57" customWidth="1"/>
    <col min="7987" max="7987" width="55.28515625" style="57" customWidth="1"/>
    <col min="7988" max="7988" width="2" style="57" customWidth="1"/>
    <col min="7989" max="7989" width="67.42578125" style="57" customWidth="1"/>
    <col min="7990" max="7992" width="9.140625" style="57"/>
    <col min="7993" max="7996" width="9.140625" style="57" customWidth="1"/>
    <col min="7997" max="7997" width="16.85546875" style="57" customWidth="1"/>
    <col min="7998" max="8003" width="9.140625" style="57"/>
    <col min="8004" max="8004" width="9.5703125" style="57" customWidth="1"/>
    <col min="8005" max="8007" width="0" style="57" hidden="1" customWidth="1"/>
    <col min="8008" max="8212" width="9.140625" style="57"/>
    <col min="8213" max="8213" width="2.140625" style="57" customWidth="1"/>
    <col min="8214" max="8214" width="13" style="57" customWidth="1"/>
    <col min="8215" max="8215" width="0.7109375" style="57" customWidth="1"/>
    <col min="8216" max="8216" width="14.7109375" style="57" customWidth="1"/>
    <col min="8217" max="8217" width="1.140625" style="57" customWidth="1"/>
    <col min="8218" max="8218" width="39" style="57" customWidth="1"/>
    <col min="8219" max="8219" width="1" style="57" customWidth="1"/>
    <col min="8220" max="8220" width="19" style="57" customWidth="1"/>
    <col min="8221" max="8221" width="1" style="57" customWidth="1"/>
    <col min="8222" max="8222" width="12.7109375" style="57" customWidth="1"/>
    <col min="8223" max="8223" width="0.7109375" style="57" customWidth="1"/>
    <col min="8224" max="8224" width="11.42578125" style="57" customWidth="1"/>
    <col min="8225" max="8225" width="1" style="57" customWidth="1"/>
    <col min="8226" max="8226" width="12" style="57" customWidth="1"/>
    <col min="8227" max="8227" width="0.85546875" style="57" customWidth="1"/>
    <col min="8228" max="8229" width="0" style="57" hidden="1" customWidth="1"/>
    <col min="8230" max="8230" width="14.28515625" style="57" customWidth="1"/>
    <col min="8231" max="8231" width="0.5703125" style="57" customWidth="1"/>
    <col min="8232" max="8232" width="11.140625" style="57" customWidth="1"/>
    <col min="8233" max="8233" width="1.28515625" style="57" customWidth="1"/>
    <col min="8234" max="8234" width="9.28515625" style="57" customWidth="1"/>
    <col min="8235" max="8235" width="1" style="57" customWidth="1"/>
    <col min="8236" max="8236" width="12.42578125" style="57" customWidth="1"/>
    <col min="8237" max="8237" width="1.140625" style="57" customWidth="1"/>
    <col min="8238" max="8238" width="11.7109375" style="57" customWidth="1"/>
    <col min="8239" max="8239" width="1.140625" style="57" customWidth="1"/>
    <col min="8240" max="8240" width="9.140625" style="57"/>
    <col min="8241" max="8241" width="1.42578125" style="57" customWidth="1"/>
    <col min="8242" max="8242" width="13.85546875" style="57" customWidth="1"/>
    <col min="8243" max="8243" width="55.28515625" style="57" customWidth="1"/>
    <col min="8244" max="8244" width="2" style="57" customWidth="1"/>
    <col min="8245" max="8245" width="67.42578125" style="57" customWidth="1"/>
    <col min="8246" max="8248" width="9.140625" style="57"/>
    <col min="8249" max="8252" width="9.140625" style="57" customWidth="1"/>
    <col min="8253" max="8253" width="16.85546875" style="57" customWidth="1"/>
    <col min="8254" max="8259" width="9.140625" style="57"/>
    <col min="8260" max="8260" width="9.5703125" style="57" customWidth="1"/>
    <col min="8261" max="8263" width="0" style="57" hidden="1" customWidth="1"/>
    <col min="8264" max="8468" width="9.140625" style="57"/>
    <col min="8469" max="8469" width="2.140625" style="57" customWidth="1"/>
    <col min="8470" max="8470" width="13" style="57" customWidth="1"/>
    <col min="8471" max="8471" width="0.7109375" style="57" customWidth="1"/>
    <col min="8472" max="8472" width="14.7109375" style="57" customWidth="1"/>
    <col min="8473" max="8473" width="1.140625" style="57" customWidth="1"/>
    <col min="8474" max="8474" width="39" style="57" customWidth="1"/>
    <col min="8475" max="8475" width="1" style="57" customWidth="1"/>
    <col min="8476" max="8476" width="19" style="57" customWidth="1"/>
    <col min="8477" max="8477" width="1" style="57" customWidth="1"/>
    <col min="8478" max="8478" width="12.7109375" style="57" customWidth="1"/>
    <col min="8479" max="8479" width="0.7109375" style="57" customWidth="1"/>
    <col min="8480" max="8480" width="11.42578125" style="57" customWidth="1"/>
    <col min="8481" max="8481" width="1" style="57" customWidth="1"/>
    <col min="8482" max="8482" width="12" style="57" customWidth="1"/>
    <col min="8483" max="8483" width="0.85546875" style="57" customWidth="1"/>
    <col min="8484" max="8485" width="0" style="57" hidden="1" customWidth="1"/>
    <col min="8486" max="8486" width="14.28515625" style="57" customWidth="1"/>
    <col min="8487" max="8487" width="0.5703125" style="57" customWidth="1"/>
    <col min="8488" max="8488" width="11.140625" style="57" customWidth="1"/>
    <col min="8489" max="8489" width="1.28515625" style="57" customWidth="1"/>
    <col min="8490" max="8490" width="9.28515625" style="57" customWidth="1"/>
    <col min="8491" max="8491" width="1" style="57" customWidth="1"/>
    <col min="8492" max="8492" width="12.42578125" style="57" customWidth="1"/>
    <col min="8493" max="8493" width="1.140625" style="57" customWidth="1"/>
    <col min="8494" max="8494" width="11.7109375" style="57" customWidth="1"/>
    <col min="8495" max="8495" width="1.140625" style="57" customWidth="1"/>
    <col min="8496" max="8496" width="9.140625" style="57"/>
    <col min="8497" max="8497" width="1.42578125" style="57" customWidth="1"/>
    <col min="8498" max="8498" width="13.85546875" style="57" customWidth="1"/>
    <col min="8499" max="8499" width="55.28515625" style="57" customWidth="1"/>
    <col min="8500" max="8500" width="2" style="57" customWidth="1"/>
    <col min="8501" max="8501" width="67.42578125" style="57" customWidth="1"/>
    <col min="8502" max="8504" width="9.140625" style="57"/>
    <col min="8505" max="8508" width="9.140625" style="57" customWidth="1"/>
    <col min="8509" max="8509" width="16.85546875" style="57" customWidth="1"/>
    <col min="8510" max="8515" width="9.140625" style="57"/>
    <col min="8516" max="8516" width="9.5703125" style="57" customWidth="1"/>
    <col min="8517" max="8519" width="0" style="57" hidden="1" customWidth="1"/>
    <col min="8520" max="8724" width="9.140625" style="57"/>
    <col min="8725" max="8725" width="2.140625" style="57" customWidth="1"/>
    <col min="8726" max="8726" width="13" style="57" customWidth="1"/>
    <col min="8727" max="8727" width="0.7109375" style="57" customWidth="1"/>
    <col min="8728" max="8728" width="14.7109375" style="57" customWidth="1"/>
    <col min="8729" max="8729" width="1.140625" style="57" customWidth="1"/>
    <col min="8730" max="8730" width="39" style="57" customWidth="1"/>
    <col min="8731" max="8731" width="1" style="57" customWidth="1"/>
    <col min="8732" max="8732" width="19" style="57" customWidth="1"/>
    <col min="8733" max="8733" width="1" style="57" customWidth="1"/>
    <col min="8734" max="8734" width="12.7109375" style="57" customWidth="1"/>
    <col min="8735" max="8735" width="0.7109375" style="57" customWidth="1"/>
    <col min="8736" max="8736" width="11.42578125" style="57" customWidth="1"/>
    <col min="8737" max="8737" width="1" style="57" customWidth="1"/>
    <col min="8738" max="8738" width="12" style="57" customWidth="1"/>
    <col min="8739" max="8739" width="0.85546875" style="57" customWidth="1"/>
    <col min="8740" max="8741" width="0" style="57" hidden="1" customWidth="1"/>
    <col min="8742" max="8742" width="14.28515625" style="57" customWidth="1"/>
    <col min="8743" max="8743" width="0.5703125" style="57" customWidth="1"/>
    <col min="8744" max="8744" width="11.140625" style="57" customWidth="1"/>
    <col min="8745" max="8745" width="1.28515625" style="57" customWidth="1"/>
    <col min="8746" max="8746" width="9.28515625" style="57" customWidth="1"/>
    <col min="8747" max="8747" width="1" style="57" customWidth="1"/>
    <col min="8748" max="8748" width="12.42578125" style="57" customWidth="1"/>
    <col min="8749" max="8749" width="1.140625" style="57" customWidth="1"/>
    <col min="8750" max="8750" width="11.7109375" style="57" customWidth="1"/>
    <col min="8751" max="8751" width="1.140625" style="57" customWidth="1"/>
    <col min="8752" max="8752" width="9.140625" style="57"/>
    <col min="8753" max="8753" width="1.42578125" style="57" customWidth="1"/>
    <col min="8754" max="8754" width="13.85546875" style="57" customWidth="1"/>
    <col min="8755" max="8755" width="55.28515625" style="57" customWidth="1"/>
    <col min="8756" max="8756" width="2" style="57" customWidth="1"/>
    <col min="8757" max="8757" width="67.42578125" style="57" customWidth="1"/>
    <col min="8758" max="8760" width="9.140625" style="57"/>
    <col min="8761" max="8764" width="9.140625" style="57" customWidth="1"/>
    <col min="8765" max="8765" width="16.85546875" style="57" customWidth="1"/>
    <col min="8766" max="8771" width="9.140625" style="57"/>
    <col min="8772" max="8772" width="9.5703125" style="57" customWidth="1"/>
    <col min="8773" max="8775" width="0" style="57" hidden="1" customWidth="1"/>
    <col min="8776" max="8980" width="9.140625" style="57"/>
    <col min="8981" max="8981" width="2.140625" style="57" customWidth="1"/>
    <col min="8982" max="8982" width="13" style="57" customWidth="1"/>
    <col min="8983" max="8983" width="0.7109375" style="57" customWidth="1"/>
    <col min="8984" max="8984" width="14.7109375" style="57" customWidth="1"/>
    <col min="8985" max="8985" width="1.140625" style="57" customWidth="1"/>
    <col min="8986" max="8986" width="39" style="57" customWidth="1"/>
    <col min="8987" max="8987" width="1" style="57" customWidth="1"/>
    <col min="8988" max="8988" width="19" style="57" customWidth="1"/>
    <col min="8989" max="8989" width="1" style="57" customWidth="1"/>
    <col min="8990" max="8990" width="12.7109375" style="57" customWidth="1"/>
    <col min="8991" max="8991" width="0.7109375" style="57" customWidth="1"/>
    <col min="8992" max="8992" width="11.42578125" style="57" customWidth="1"/>
    <col min="8993" max="8993" width="1" style="57" customWidth="1"/>
    <col min="8994" max="8994" width="12" style="57" customWidth="1"/>
    <col min="8995" max="8995" width="0.85546875" style="57" customWidth="1"/>
    <col min="8996" max="8997" width="0" style="57" hidden="1" customWidth="1"/>
    <col min="8998" max="8998" width="14.28515625" style="57" customWidth="1"/>
    <col min="8999" max="8999" width="0.5703125" style="57" customWidth="1"/>
    <col min="9000" max="9000" width="11.140625" style="57" customWidth="1"/>
    <col min="9001" max="9001" width="1.28515625" style="57" customWidth="1"/>
    <col min="9002" max="9002" width="9.28515625" style="57" customWidth="1"/>
    <col min="9003" max="9003" width="1" style="57" customWidth="1"/>
    <col min="9004" max="9004" width="12.42578125" style="57" customWidth="1"/>
    <col min="9005" max="9005" width="1.140625" style="57" customWidth="1"/>
    <col min="9006" max="9006" width="11.7109375" style="57" customWidth="1"/>
    <col min="9007" max="9007" width="1.140625" style="57" customWidth="1"/>
    <col min="9008" max="9008" width="9.140625" style="57"/>
    <col min="9009" max="9009" width="1.42578125" style="57" customWidth="1"/>
    <col min="9010" max="9010" width="13.85546875" style="57" customWidth="1"/>
    <col min="9011" max="9011" width="55.28515625" style="57" customWidth="1"/>
    <col min="9012" max="9012" width="2" style="57" customWidth="1"/>
    <col min="9013" max="9013" width="67.42578125" style="57" customWidth="1"/>
    <col min="9014" max="9016" width="9.140625" style="57"/>
    <col min="9017" max="9020" width="9.140625" style="57" customWidth="1"/>
    <col min="9021" max="9021" width="16.85546875" style="57" customWidth="1"/>
    <col min="9022" max="9027" width="9.140625" style="57"/>
    <col min="9028" max="9028" width="9.5703125" style="57" customWidth="1"/>
    <col min="9029" max="9031" width="0" style="57" hidden="1" customWidth="1"/>
    <col min="9032" max="9236" width="9.140625" style="57"/>
    <col min="9237" max="9237" width="2.140625" style="57" customWidth="1"/>
    <col min="9238" max="9238" width="13" style="57" customWidth="1"/>
    <col min="9239" max="9239" width="0.7109375" style="57" customWidth="1"/>
    <col min="9240" max="9240" width="14.7109375" style="57" customWidth="1"/>
    <col min="9241" max="9241" width="1.140625" style="57" customWidth="1"/>
    <col min="9242" max="9242" width="39" style="57" customWidth="1"/>
    <col min="9243" max="9243" width="1" style="57" customWidth="1"/>
    <col min="9244" max="9244" width="19" style="57" customWidth="1"/>
    <col min="9245" max="9245" width="1" style="57" customWidth="1"/>
    <col min="9246" max="9246" width="12.7109375" style="57" customWidth="1"/>
    <col min="9247" max="9247" width="0.7109375" style="57" customWidth="1"/>
    <col min="9248" max="9248" width="11.42578125" style="57" customWidth="1"/>
    <col min="9249" max="9249" width="1" style="57" customWidth="1"/>
    <col min="9250" max="9250" width="12" style="57" customWidth="1"/>
    <col min="9251" max="9251" width="0.85546875" style="57" customWidth="1"/>
    <col min="9252" max="9253" width="0" style="57" hidden="1" customWidth="1"/>
    <col min="9254" max="9254" width="14.28515625" style="57" customWidth="1"/>
    <col min="9255" max="9255" width="0.5703125" style="57" customWidth="1"/>
    <col min="9256" max="9256" width="11.140625" style="57" customWidth="1"/>
    <col min="9257" max="9257" width="1.28515625" style="57" customWidth="1"/>
    <col min="9258" max="9258" width="9.28515625" style="57" customWidth="1"/>
    <col min="9259" max="9259" width="1" style="57" customWidth="1"/>
    <col min="9260" max="9260" width="12.42578125" style="57" customWidth="1"/>
    <col min="9261" max="9261" width="1.140625" style="57" customWidth="1"/>
    <col min="9262" max="9262" width="11.7109375" style="57" customWidth="1"/>
    <col min="9263" max="9263" width="1.140625" style="57" customWidth="1"/>
    <col min="9264" max="9264" width="9.140625" style="57"/>
    <col min="9265" max="9265" width="1.42578125" style="57" customWidth="1"/>
    <col min="9266" max="9266" width="13.85546875" style="57" customWidth="1"/>
    <col min="9267" max="9267" width="55.28515625" style="57" customWidth="1"/>
    <col min="9268" max="9268" width="2" style="57" customWidth="1"/>
    <col min="9269" max="9269" width="67.42578125" style="57" customWidth="1"/>
    <col min="9270" max="9272" width="9.140625" style="57"/>
    <col min="9273" max="9276" width="9.140625" style="57" customWidth="1"/>
    <col min="9277" max="9277" width="16.85546875" style="57" customWidth="1"/>
    <col min="9278" max="9283" width="9.140625" style="57"/>
    <col min="9284" max="9284" width="9.5703125" style="57" customWidth="1"/>
    <col min="9285" max="9287" width="0" style="57" hidden="1" customWidth="1"/>
    <col min="9288" max="9492" width="9.140625" style="57"/>
    <col min="9493" max="9493" width="2.140625" style="57" customWidth="1"/>
    <col min="9494" max="9494" width="13" style="57" customWidth="1"/>
    <col min="9495" max="9495" width="0.7109375" style="57" customWidth="1"/>
    <col min="9496" max="9496" width="14.7109375" style="57" customWidth="1"/>
    <col min="9497" max="9497" width="1.140625" style="57" customWidth="1"/>
    <col min="9498" max="9498" width="39" style="57" customWidth="1"/>
    <col min="9499" max="9499" width="1" style="57" customWidth="1"/>
    <col min="9500" max="9500" width="19" style="57" customWidth="1"/>
    <col min="9501" max="9501" width="1" style="57" customWidth="1"/>
    <col min="9502" max="9502" width="12.7109375" style="57" customWidth="1"/>
    <col min="9503" max="9503" width="0.7109375" style="57" customWidth="1"/>
    <col min="9504" max="9504" width="11.42578125" style="57" customWidth="1"/>
    <col min="9505" max="9505" width="1" style="57" customWidth="1"/>
    <col min="9506" max="9506" width="12" style="57" customWidth="1"/>
    <col min="9507" max="9507" width="0.85546875" style="57" customWidth="1"/>
    <col min="9508" max="9509" width="0" style="57" hidden="1" customWidth="1"/>
    <col min="9510" max="9510" width="14.28515625" style="57" customWidth="1"/>
    <col min="9511" max="9511" width="0.5703125" style="57" customWidth="1"/>
    <col min="9512" max="9512" width="11.140625" style="57" customWidth="1"/>
    <col min="9513" max="9513" width="1.28515625" style="57" customWidth="1"/>
    <col min="9514" max="9514" width="9.28515625" style="57" customWidth="1"/>
    <col min="9515" max="9515" width="1" style="57" customWidth="1"/>
    <col min="9516" max="9516" width="12.42578125" style="57" customWidth="1"/>
    <col min="9517" max="9517" width="1.140625" style="57" customWidth="1"/>
    <col min="9518" max="9518" width="11.7109375" style="57" customWidth="1"/>
    <col min="9519" max="9519" width="1.140625" style="57" customWidth="1"/>
    <col min="9520" max="9520" width="9.140625" style="57"/>
    <col min="9521" max="9521" width="1.42578125" style="57" customWidth="1"/>
    <col min="9522" max="9522" width="13.85546875" style="57" customWidth="1"/>
    <col min="9523" max="9523" width="55.28515625" style="57" customWidth="1"/>
    <col min="9524" max="9524" width="2" style="57" customWidth="1"/>
    <col min="9525" max="9525" width="67.42578125" style="57" customWidth="1"/>
    <col min="9526" max="9528" width="9.140625" style="57"/>
    <col min="9529" max="9532" width="9.140625" style="57" customWidth="1"/>
    <col min="9533" max="9533" width="16.85546875" style="57" customWidth="1"/>
    <col min="9534" max="9539" width="9.140625" style="57"/>
    <col min="9540" max="9540" width="9.5703125" style="57" customWidth="1"/>
    <col min="9541" max="9543" width="0" style="57" hidden="1" customWidth="1"/>
    <col min="9544" max="9748" width="9.140625" style="57"/>
    <col min="9749" max="9749" width="2.140625" style="57" customWidth="1"/>
    <col min="9750" max="9750" width="13" style="57" customWidth="1"/>
    <col min="9751" max="9751" width="0.7109375" style="57" customWidth="1"/>
    <col min="9752" max="9752" width="14.7109375" style="57" customWidth="1"/>
    <col min="9753" max="9753" width="1.140625" style="57" customWidth="1"/>
    <col min="9754" max="9754" width="39" style="57" customWidth="1"/>
    <col min="9755" max="9755" width="1" style="57" customWidth="1"/>
    <col min="9756" max="9756" width="19" style="57" customWidth="1"/>
    <col min="9757" max="9757" width="1" style="57" customWidth="1"/>
    <col min="9758" max="9758" width="12.7109375" style="57" customWidth="1"/>
    <col min="9759" max="9759" width="0.7109375" style="57" customWidth="1"/>
    <col min="9760" max="9760" width="11.42578125" style="57" customWidth="1"/>
    <col min="9761" max="9761" width="1" style="57" customWidth="1"/>
    <col min="9762" max="9762" width="12" style="57" customWidth="1"/>
    <col min="9763" max="9763" width="0.85546875" style="57" customWidth="1"/>
    <col min="9764" max="9765" width="0" style="57" hidden="1" customWidth="1"/>
    <col min="9766" max="9766" width="14.28515625" style="57" customWidth="1"/>
    <col min="9767" max="9767" width="0.5703125" style="57" customWidth="1"/>
    <col min="9768" max="9768" width="11.140625" style="57" customWidth="1"/>
    <col min="9769" max="9769" width="1.28515625" style="57" customWidth="1"/>
    <col min="9770" max="9770" width="9.28515625" style="57" customWidth="1"/>
    <col min="9771" max="9771" width="1" style="57" customWidth="1"/>
    <col min="9772" max="9772" width="12.42578125" style="57" customWidth="1"/>
    <col min="9773" max="9773" width="1.140625" style="57" customWidth="1"/>
    <col min="9774" max="9774" width="11.7109375" style="57" customWidth="1"/>
    <col min="9775" max="9775" width="1.140625" style="57" customWidth="1"/>
    <col min="9776" max="9776" width="9.140625" style="57"/>
    <col min="9777" max="9777" width="1.42578125" style="57" customWidth="1"/>
    <col min="9778" max="9778" width="13.85546875" style="57" customWidth="1"/>
    <col min="9779" max="9779" width="55.28515625" style="57" customWidth="1"/>
    <col min="9780" max="9780" width="2" style="57" customWidth="1"/>
    <col min="9781" max="9781" width="67.42578125" style="57" customWidth="1"/>
    <col min="9782" max="9784" width="9.140625" style="57"/>
    <col min="9785" max="9788" width="9.140625" style="57" customWidth="1"/>
    <col min="9789" max="9789" width="16.85546875" style="57" customWidth="1"/>
    <col min="9790" max="9795" width="9.140625" style="57"/>
    <col min="9796" max="9796" width="9.5703125" style="57" customWidth="1"/>
    <col min="9797" max="9799" width="0" style="57" hidden="1" customWidth="1"/>
    <col min="9800" max="10004" width="9.140625" style="57"/>
    <col min="10005" max="10005" width="2.140625" style="57" customWidth="1"/>
    <col min="10006" max="10006" width="13" style="57" customWidth="1"/>
    <col min="10007" max="10007" width="0.7109375" style="57" customWidth="1"/>
    <col min="10008" max="10008" width="14.7109375" style="57" customWidth="1"/>
    <col min="10009" max="10009" width="1.140625" style="57" customWidth="1"/>
    <col min="10010" max="10010" width="39" style="57" customWidth="1"/>
    <col min="10011" max="10011" width="1" style="57" customWidth="1"/>
    <col min="10012" max="10012" width="19" style="57" customWidth="1"/>
    <col min="10013" max="10013" width="1" style="57" customWidth="1"/>
    <col min="10014" max="10014" width="12.7109375" style="57" customWidth="1"/>
    <col min="10015" max="10015" width="0.7109375" style="57" customWidth="1"/>
    <col min="10016" max="10016" width="11.42578125" style="57" customWidth="1"/>
    <col min="10017" max="10017" width="1" style="57" customWidth="1"/>
    <col min="10018" max="10018" width="12" style="57" customWidth="1"/>
    <col min="10019" max="10019" width="0.85546875" style="57" customWidth="1"/>
    <col min="10020" max="10021" width="0" style="57" hidden="1" customWidth="1"/>
    <col min="10022" max="10022" width="14.28515625" style="57" customWidth="1"/>
    <col min="10023" max="10023" width="0.5703125" style="57" customWidth="1"/>
    <col min="10024" max="10024" width="11.140625" style="57" customWidth="1"/>
    <col min="10025" max="10025" width="1.28515625" style="57" customWidth="1"/>
    <col min="10026" max="10026" width="9.28515625" style="57" customWidth="1"/>
    <col min="10027" max="10027" width="1" style="57" customWidth="1"/>
    <col min="10028" max="10028" width="12.42578125" style="57" customWidth="1"/>
    <col min="10029" max="10029" width="1.140625" style="57" customWidth="1"/>
    <col min="10030" max="10030" width="11.7109375" style="57" customWidth="1"/>
    <col min="10031" max="10031" width="1.140625" style="57" customWidth="1"/>
    <col min="10032" max="10032" width="9.140625" style="57"/>
    <col min="10033" max="10033" width="1.42578125" style="57" customWidth="1"/>
    <col min="10034" max="10034" width="13.85546875" style="57" customWidth="1"/>
    <col min="10035" max="10035" width="55.28515625" style="57" customWidth="1"/>
    <col min="10036" max="10036" width="2" style="57" customWidth="1"/>
    <col min="10037" max="10037" width="67.42578125" style="57" customWidth="1"/>
    <col min="10038" max="10040" width="9.140625" style="57"/>
    <col min="10041" max="10044" width="9.140625" style="57" customWidth="1"/>
    <col min="10045" max="10045" width="16.85546875" style="57" customWidth="1"/>
    <col min="10046" max="10051" width="9.140625" style="57"/>
    <col min="10052" max="10052" width="9.5703125" style="57" customWidth="1"/>
    <col min="10053" max="10055" width="0" style="57" hidden="1" customWidth="1"/>
    <col min="10056" max="10260" width="9.140625" style="57"/>
    <col min="10261" max="10261" width="2.140625" style="57" customWidth="1"/>
    <col min="10262" max="10262" width="13" style="57" customWidth="1"/>
    <col min="10263" max="10263" width="0.7109375" style="57" customWidth="1"/>
    <col min="10264" max="10264" width="14.7109375" style="57" customWidth="1"/>
    <col min="10265" max="10265" width="1.140625" style="57" customWidth="1"/>
    <col min="10266" max="10266" width="39" style="57" customWidth="1"/>
    <col min="10267" max="10267" width="1" style="57" customWidth="1"/>
    <col min="10268" max="10268" width="19" style="57" customWidth="1"/>
    <col min="10269" max="10269" width="1" style="57" customWidth="1"/>
    <col min="10270" max="10270" width="12.7109375" style="57" customWidth="1"/>
    <col min="10271" max="10271" width="0.7109375" style="57" customWidth="1"/>
    <col min="10272" max="10272" width="11.42578125" style="57" customWidth="1"/>
    <col min="10273" max="10273" width="1" style="57" customWidth="1"/>
    <col min="10274" max="10274" width="12" style="57" customWidth="1"/>
    <col min="10275" max="10275" width="0.85546875" style="57" customWidth="1"/>
    <col min="10276" max="10277" width="0" style="57" hidden="1" customWidth="1"/>
    <col min="10278" max="10278" width="14.28515625" style="57" customWidth="1"/>
    <col min="10279" max="10279" width="0.5703125" style="57" customWidth="1"/>
    <col min="10280" max="10280" width="11.140625" style="57" customWidth="1"/>
    <col min="10281" max="10281" width="1.28515625" style="57" customWidth="1"/>
    <col min="10282" max="10282" width="9.28515625" style="57" customWidth="1"/>
    <col min="10283" max="10283" width="1" style="57" customWidth="1"/>
    <col min="10284" max="10284" width="12.42578125" style="57" customWidth="1"/>
    <col min="10285" max="10285" width="1.140625" style="57" customWidth="1"/>
    <col min="10286" max="10286" width="11.7109375" style="57" customWidth="1"/>
    <col min="10287" max="10287" width="1.140625" style="57" customWidth="1"/>
    <col min="10288" max="10288" width="9.140625" style="57"/>
    <col min="10289" max="10289" width="1.42578125" style="57" customWidth="1"/>
    <col min="10290" max="10290" width="13.85546875" style="57" customWidth="1"/>
    <col min="10291" max="10291" width="55.28515625" style="57" customWidth="1"/>
    <col min="10292" max="10292" width="2" style="57" customWidth="1"/>
    <col min="10293" max="10293" width="67.42578125" style="57" customWidth="1"/>
    <col min="10294" max="10296" width="9.140625" style="57"/>
    <col min="10297" max="10300" width="9.140625" style="57" customWidth="1"/>
    <col min="10301" max="10301" width="16.85546875" style="57" customWidth="1"/>
    <col min="10302" max="10307" width="9.140625" style="57"/>
    <col min="10308" max="10308" width="9.5703125" style="57" customWidth="1"/>
    <col min="10309" max="10311" width="0" style="57" hidden="1" customWidth="1"/>
    <col min="10312" max="10516" width="9.140625" style="57"/>
    <col min="10517" max="10517" width="2.140625" style="57" customWidth="1"/>
    <col min="10518" max="10518" width="13" style="57" customWidth="1"/>
    <col min="10519" max="10519" width="0.7109375" style="57" customWidth="1"/>
    <col min="10520" max="10520" width="14.7109375" style="57" customWidth="1"/>
    <col min="10521" max="10521" width="1.140625" style="57" customWidth="1"/>
    <col min="10522" max="10522" width="39" style="57" customWidth="1"/>
    <col min="10523" max="10523" width="1" style="57" customWidth="1"/>
    <col min="10524" max="10524" width="19" style="57" customWidth="1"/>
    <col min="10525" max="10525" width="1" style="57" customWidth="1"/>
    <col min="10526" max="10526" width="12.7109375" style="57" customWidth="1"/>
    <col min="10527" max="10527" width="0.7109375" style="57" customWidth="1"/>
    <col min="10528" max="10528" width="11.42578125" style="57" customWidth="1"/>
    <col min="10529" max="10529" width="1" style="57" customWidth="1"/>
    <col min="10530" max="10530" width="12" style="57" customWidth="1"/>
    <col min="10531" max="10531" width="0.85546875" style="57" customWidth="1"/>
    <col min="10532" max="10533" width="0" style="57" hidden="1" customWidth="1"/>
    <col min="10534" max="10534" width="14.28515625" style="57" customWidth="1"/>
    <col min="10535" max="10535" width="0.5703125" style="57" customWidth="1"/>
    <col min="10536" max="10536" width="11.140625" style="57" customWidth="1"/>
    <col min="10537" max="10537" width="1.28515625" style="57" customWidth="1"/>
    <col min="10538" max="10538" width="9.28515625" style="57" customWidth="1"/>
    <col min="10539" max="10539" width="1" style="57" customWidth="1"/>
    <col min="10540" max="10540" width="12.42578125" style="57" customWidth="1"/>
    <col min="10541" max="10541" width="1.140625" style="57" customWidth="1"/>
    <col min="10542" max="10542" width="11.7109375" style="57" customWidth="1"/>
    <col min="10543" max="10543" width="1.140625" style="57" customWidth="1"/>
    <col min="10544" max="10544" width="9.140625" style="57"/>
    <col min="10545" max="10545" width="1.42578125" style="57" customWidth="1"/>
    <col min="10546" max="10546" width="13.85546875" style="57" customWidth="1"/>
    <col min="10547" max="10547" width="55.28515625" style="57" customWidth="1"/>
    <col min="10548" max="10548" width="2" style="57" customWidth="1"/>
    <col min="10549" max="10549" width="67.42578125" style="57" customWidth="1"/>
    <col min="10550" max="10552" width="9.140625" style="57"/>
    <col min="10553" max="10556" width="9.140625" style="57" customWidth="1"/>
    <col min="10557" max="10557" width="16.85546875" style="57" customWidth="1"/>
    <col min="10558" max="10563" width="9.140625" style="57"/>
    <col min="10564" max="10564" width="9.5703125" style="57" customWidth="1"/>
    <col min="10565" max="10567" width="0" style="57" hidden="1" customWidth="1"/>
    <col min="10568" max="10772" width="9.140625" style="57"/>
    <col min="10773" max="10773" width="2.140625" style="57" customWidth="1"/>
    <col min="10774" max="10774" width="13" style="57" customWidth="1"/>
    <col min="10775" max="10775" width="0.7109375" style="57" customWidth="1"/>
    <col min="10776" max="10776" width="14.7109375" style="57" customWidth="1"/>
    <col min="10777" max="10777" width="1.140625" style="57" customWidth="1"/>
    <col min="10778" max="10778" width="39" style="57" customWidth="1"/>
    <col min="10779" max="10779" width="1" style="57" customWidth="1"/>
    <col min="10780" max="10780" width="19" style="57" customWidth="1"/>
    <col min="10781" max="10781" width="1" style="57" customWidth="1"/>
    <col min="10782" max="10782" width="12.7109375" style="57" customWidth="1"/>
    <col min="10783" max="10783" width="0.7109375" style="57" customWidth="1"/>
    <col min="10784" max="10784" width="11.42578125" style="57" customWidth="1"/>
    <col min="10785" max="10785" width="1" style="57" customWidth="1"/>
    <col min="10786" max="10786" width="12" style="57" customWidth="1"/>
    <col min="10787" max="10787" width="0.85546875" style="57" customWidth="1"/>
    <col min="10788" max="10789" width="0" style="57" hidden="1" customWidth="1"/>
    <col min="10790" max="10790" width="14.28515625" style="57" customWidth="1"/>
    <col min="10791" max="10791" width="0.5703125" style="57" customWidth="1"/>
    <col min="10792" max="10792" width="11.140625" style="57" customWidth="1"/>
    <col min="10793" max="10793" width="1.28515625" style="57" customWidth="1"/>
    <col min="10794" max="10794" width="9.28515625" style="57" customWidth="1"/>
    <col min="10795" max="10795" width="1" style="57" customWidth="1"/>
    <col min="10796" max="10796" width="12.42578125" style="57" customWidth="1"/>
    <col min="10797" max="10797" width="1.140625" style="57" customWidth="1"/>
    <col min="10798" max="10798" width="11.7109375" style="57" customWidth="1"/>
    <col min="10799" max="10799" width="1.140625" style="57" customWidth="1"/>
    <col min="10800" max="10800" width="9.140625" style="57"/>
    <col min="10801" max="10801" width="1.42578125" style="57" customWidth="1"/>
    <col min="10802" max="10802" width="13.85546875" style="57" customWidth="1"/>
    <col min="10803" max="10803" width="55.28515625" style="57" customWidth="1"/>
    <col min="10804" max="10804" width="2" style="57" customWidth="1"/>
    <col min="10805" max="10805" width="67.42578125" style="57" customWidth="1"/>
    <col min="10806" max="10808" width="9.140625" style="57"/>
    <col min="10809" max="10812" width="9.140625" style="57" customWidth="1"/>
    <col min="10813" max="10813" width="16.85546875" style="57" customWidth="1"/>
    <col min="10814" max="10819" width="9.140625" style="57"/>
    <col min="10820" max="10820" width="9.5703125" style="57" customWidth="1"/>
    <col min="10821" max="10823" width="0" style="57" hidden="1" customWidth="1"/>
    <col min="10824" max="11028" width="9.140625" style="57"/>
    <col min="11029" max="11029" width="2.140625" style="57" customWidth="1"/>
    <col min="11030" max="11030" width="13" style="57" customWidth="1"/>
    <col min="11031" max="11031" width="0.7109375" style="57" customWidth="1"/>
    <col min="11032" max="11032" width="14.7109375" style="57" customWidth="1"/>
    <col min="11033" max="11033" width="1.140625" style="57" customWidth="1"/>
    <col min="11034" max="11034" width="39" style="57" customWidth="1"/>
    <col min="11035" max="11035" width="1" style="57" customWidth="1"/>
    <col min="11036" max="11036" width="19" style="57" customWidth="1"/>
    <col min="11037" max="11037" width="1" style="57" customWidth="1"/>
    <col min="11038" max="11038" width="12.7109375" style="57" customWidth="1"/>
    <col min="11039" max="11039" width="0.7109375" style="57" customWidth="1"/>
    <col min="11040" max="11040" width="11.42578125" style="57" customWidth="1"/>
    <col min="11041" max="11041" width="1" style="57" customWidth="1"/>
    <col min="11042" max="11042" width="12" style="57" customWidth="1"/>
    <col min="11043" max="11043" width="0.85546875" style="57" customWidth="1"/>
    <col min="11044" max="11045" width="0" style="57" hidden="1" customWidth="1"/>
    <col min="11046" max="11046" width="14.28515625" style="57" customWidth="1"/>
    <col min="11047" max="11047" width="0.5703125" style="57" customWidth="1"/>
    <col min="11048" max="11048" width="11.140625" style="57" customWidth="1"/>
    <col min="11049" max="11049" width="1.28515625" style="57" customWidth="1"/>
    <col min="11050" max="11050" width="9.28515625" style="57" customWidth="1"/>
    <col min="11051" max="11051" width="1" style="57" customWidth="1"/>
    <col min="11052" max="11052" width="12.42578125" style="57" customWidth="1"/>
    <col min="11053" max="11053" width="1.140625" style="57" customWidth="1"/>
    <col min="11054" max="11054" width="11.7109375" style="57" customWidth="1"/>
    <col min="11055" max="11055" width="1.140625" style="57" customWidth="1"/>
    <col min="11056" max="11056" width="9.140625" style="57"/>
    <col min="11057" max="11057" width="1.42578125" style="57" customWidth="1"/>
    <col min="11058" max="11058" width="13.85546875" style="57" customWidth="1"/>
    <col min="11059" max="11059" width="55.28515625" style="57" customWidth="1"/>
    <col min="11060" max="11060" width="2" style="57" customWidth="1"/>
    <col min="11061" max="11061" width="67.42578125" style="57" customWidth="1"/>
    <col min="11062" max="11064" width="9.140625" style="57"/>
    <col min="11065" max="11068" width="9.140625" style="57" customWidth="1"/>
    <col min="11069" max="11069" width="16.85546875" style="57" customWidth="1"/>
    <col min="11070" max="11075" width="9.140625" style="57"/>
    <col min="11076" max="11076" width="9.5703125" style="57" customWidth="1"/>
    <col min="11077" max="11079" width="0" style="57" hidden="1" customWidth="1"/>
    <col min="11080" max="11284" width="9.140625" style="57"/>
    <col min="11285" max="11285" width="2.140625" style="57" customWidth="1"/>
    <col min="11286" max="11286" width="13" style="57" customWidth="1"/>
    <col min="11287" max="11287" width="0.7109375" style="57" customWidth="1"/>
    <col min="11288" max="11288" width="14.7109375" style="57" customWidth="1"/>
    <col min="11289" max="11289" width="1.140625" style="57" customWidth="1"/>
    <col min="11290" max="11290" width="39" style="57" customWidth="1"/>
    <col min="11291" max="11291" width="1" style="57" customWidth="1"/>
    <col min="11292" max="11292" width="19" style="57" customWidth="1"/>
    <col min="11293" max="11293" width="1" style="57" customWidth="1"/>
    <col min="11294" max="11294" width="12.7109375" style="57" customWidth="1"/>
    <col min="11295" max="11295" width="0.7109375" style="57" customWidth="1"/>
    <col min="11296" max="11296" width="11.42578125" style="57" customWidth="1"/>
    <col min="11297" max="11297" width="1" style="57" customWidth="1"/>
    <col min="11298" max="11298" width="12" style="57" customWidth="1"/>
    <col min="11299" max="11299" width="0.85546875" style="57" customWidth="1"/>
    <col min="11300" max="11301" width="0" style="57" hidden="1" customWidth="1"/>
    <col min="11302" max="11302" width="14.28515625" style="57" customWidth="1"/>
    <col min="11303" max="11303" width="0.5703125" style="57" customWidth="1"/>
    <col min="11304" max="11304" width="11.140625" style="57" customWidth="1"/>
    <col min="11305" max="11305" width="1.28515625" style="57" customWidth="1"/>
    <col min="11306" max="11306" width="9.28515625" style="57" customWidth="1"/>
    <col min="11307" max="11307" width="1" style="57" customWidth="1"/>
    <col min="11308" max="11308" width="12.42578125" style="57" customWidth="1"/>
    <col min="11309" max="11309" width="1.140625" style="57" customWidth="1"/>
    <col min="11310" max="11310" width="11.7109375" style="57" customWidth="1"/>
    <col min="11311" max="11311" width="1.140625" style="57" customWidth="1"/>
    <col min="11312" max="11312" width="9.140625" style="57"/>
    <col min="11313" max="11313" width="1.42578125" style="57" customWidth="1"/>
    <col min="11314" max="11314" width="13.85546875" style="57" customWidth="1"/>
    <col min="11315" max="11315" width="55.28515625" style="57" customWidth="1"/>
    <col min="11316" max="11316" width="2" style="57" customWidth="1"/>
    <col min="11317" max="11317" width="67.42578125" style="57" customWidth="1"/>
    <col min="11318" max="11320" width="9.140625" style="57"/>
    <col min="11321" max="11324" width="9.140625" style="57" customWidth="1"/>
    <col min="11325" max="11325" width="16.85546875" style="57" customWidth="1"/>
    <col min="11326" max="11331" width="9.140625" style="57"/>
    <col min="11332" max="11332" width="9.5703125" style="57" customWidth="1"/>
    <col min="11333" max="11335" width="0" style="57" hidden="1" customWidth="1"/>
    <col min="11336" max="11540" width="9.140625" style="57"/>
    <col min="11541" max="11541" width="2.140625" style="57" customWidth="1"/>
    <col min="11542" max="11542" width="13" style="57" customWidth="1"/>
    <col min="11543" max="11543" width="0.7109375" style="57" customWidth="1"/>
    <col min="11544" max="11544" width="14.7109375" style="57" customWidth="1"/>
    <col min="11545" max="11545" width="1.140625" style="57" customWidth="1"/>
    <col min="11546" max="11546" width="39" style="57" customWidth="1"/>
    <col min="11547" max="11547" width="1" style="57" customWidth="1"/>
    <col min="11548" max="11548" width="19" style="57" customWidth="1"/>
    <col min="11549" max="11549" width="1" style="57" customWidth="1"/>
    <col min="11550" max="11550" width="12.7109375" style="57" customWidth="1"/>
    <col min="11551" max="11551" width="0.7109375" style="57" customWidth="1"/>
    <col min="11552" max="11552" width="11.42578125" style="57" customWidth="1"/>
    <col min="11553" max="11553" width="1" style="57" customWidth="1"/>
    <col min="11554" max="11554" width="12" style="57" customWidth="1"/>
    <col min="11555" max="11555" width="0.85546875" style="57" customWidth="1"/>
    <col min="11556" max="11557" width="0" style="57" hidden="1" customWidth="1"/>
    <col min="11558" max="11558" width="14.28515625" style="57" customWidth="1"/>
    <col min="11559" max="11559" width="0.5703125" style="57" customWidth="1"/>
    <col min="11560" max="11560" width="11.140625" style="57" customWidth="1"/>
    <col min="11561" max="11561" width="1.28515625" style="57" customWidth="1"/>
    <col min="11562" max="11562" width="9.28515625" style="57" customWidth="1"/>
    <col min="11563" max="11563" width="1" style="57" customWidth="1"/>
    <col min="11564" max="11564" width="12.42578125" style="57" customWidth="1"/>
    <col min="11565" max="11565" width="1.140625" style="57" customWidth="1"/>
    <col min="11566" max="11566" width="11.7109375" style="57" customWidth="1"/>
    <col min="11567" max="11567" width="1.140625" style="57" customWidth="1"/>
    <col min="11568" max="11568" width="9.140625" style="57"/>
    <col min="11569" max="11569" width="1.42578125" style="57" customWidth="1"/>
    <col min="11570" max="11570" width="13.85546875" style="57" customWidth="1"/>
    <col min="11571" max="11571" width="55.28515625" style="57" customWidth="1"/>
    <col min="11572" max="11572" width="2" style="57" customWidth="1"/>
    <col min="11573" max="11573" width="67.42578125" style="57" customWidth="1"/>
    <col min="11574" max="11576" width="9.140625" style="57"/>
    <col min="11577" max="11580" width="9.140625" style="57" customWidth="1"/>
    <col min="11581" max="11581" width="16.85546875" style="57" customWidth="1"/>
    <col min="11582" max="11587" width="9.140625" style="57"/>
    <col min="11588" max="11588" width="9.5703125" style="57" customWidth="1"/>
    <col min="11589" max="11591" width="0" style="57" hidden="1" customWidth="1"/>
    <col min="11592" max="11796" width="9.140625" style="57"/>
    <col min="11797" max="11797" width="2.140625" style="57" customWidth="1"/>
    <col min="11798" max="11798" width="13" style="57" customWidth="1"/>
    <col min="11799" max="11799" width="0.7109375" style="57" customWidth="1"/>
    <col min="11800" max="11800" width="14.7109375" style="57" customWidth="1"/>
    <col min="11801" max="11801" width="1.140625" style="57" customWidth="1"/>
    <col min="11802" max="11802" width="39" style="57" customWidth="1"/>
    <col min="11803" max="11803" width="1" style="57" customWidth="1"/>
    <col min="11804" max="11804" width="19" style="57" customWidth="1"/>
    <col min="11805" max="11805" width="1" style="57" customWidth="1"/>
    <col min="11806" max="11806" width="12.7109375" style="57" customWidth="1"/>
    <col min="11807" max="11807" width="0.7109375" style="57" customWidth="1"/>
    <col min="11808" max="11808" width="11.42578125" style="57" customWidth="1"/>
    <col min="11809" max="11809" width="1" style="57" customWidth="1"/>
    <col min="11810" max="11810" width="12" style="57" customWidth="1"/>
    <col min="11811" max="11811" width="0.85546875" style="57" customWidth="1"/>
    <col min="11812" max="11813" width="0" style="57" hidden="1" customWidth="1"/>
    <col min="11814" max="11814" width="14.28515625" style="57" customWidth="1"/>
    <col min="11815" max="11815" width="0.5703125" style="57" customWidth="1"/>
    <col min="11816" max="11816" width="11.140625" style="57" customWidth="1"/>
    <col min="11817" max="11817" width="1.28515625" style="57" customWidth="1"/>
    <col min="11818" max="11818" width="9.28515625" style="57" customWidth="1"/>
    <col min="11819" max="11819" width="1" style="57" customWidth="1"/>
    <col min="11820" max="11820" width="12.42578125" style="57" customWidth="1"/>
    <col min="11821" max="11821" width="1.140625" style="57" customWidth="1"/>
    <col min="11822" max="11822" width="11.7109375" style="57" customWidth="1"/>
    <col min="11823" max="11823" width="1.140625" style="57" customWidth="1"/>
    <col min="11824" max="11824" width="9.140625" style="57"/>
    <col min="11825" max="11825" width="1.42578125" style="57" customWidth="1"/>
    <col min="11826" max="11826" width="13.85546875" style="57" customWidth="1"/>
    <col min="11827" max="11827" width="55.28515625" style="57" customWidth="1"/>
    <col min="11828" max="11828" width="2" style="57" customWidth="1"/>
    <col min="11829" max="11829" width="67.42578125" style="57" customWidth="1"/>
    <col min="11830" max="11832" width="9.140625" style="57"/>
    <col min="11833" max="11836" width="9.140625" style="57" customWidth="1"/>
    <col min="11837" max="11837" width="16.85546875" style="57" customWidth="1"/>
    <col min="11838" max="11843" width="9.140625" style="57"/>
    <col min="11844" max="11844" width="9.5703125" style="57" customWidth="1"/>
    <col min="11845" max="11847" width="0" style="57" hidden="1" customWidth="1"/>
    <col min="11848" max="12052" width="9.140625" style="57"/>
    <col min="12053" max="12053" width="2.140625" style="57" customWidth="1"/>
    <col min="12054" max="12054" width="13" style="57" customWidth="1"/>
    <col min="12055" max="12055" width="0.7109375" style="57" customWidth="1"/>
    <col min="12056" max="12056" width="14.7109375" style="57" customWidth="1"/>
    <col min="12057" max="12057" width="1.140625" style="57" customWidth="1"/>
    <col min="12058" max="12058" width="39" style="57" customWidth="1"/>
    <col min="12059" max="12059" width="1" style="57" customWidth="1"/>
    <col min="12060" max="12060" width="19" style="57" customWidth="1"/>
    <col min="12061" max="12061" width="1" style="57" customWidth="1"/>
    <col min="12062" max="12062" width="12.7109375" style="57" customWidth="1"/>
    <col min="12063" max="12063" width="0.7109375" style="57" customWidth="1"/>
    <col min="12064" max="12064" width="11.42578125" style="57" customWidth="1"/>
    <col min="12065" max="12065" width="1" style="57" customWidth="1"/>
    <col min="12066" max="12066" width="12" style="57" customWidth="1"/>
    <col min="12067" max="12067" width="0.85546875" style="57" customWidth="1"/>
    <col min="12068" max="12069" width="0" style="57" hidden="1" customWidth="1"/>
    <col min="12070" max="12070" width="14.28515625" style="57" customWidth="1"/>
    <col min="12071" max="12071" width="0.5703125" style="57" customWidth="1"/>
    <col min="12072" max="12072" width="11.140625" style="57" customWidth="1"/>
    <col min="12073" max="12073" width="1.28515625" style="57" customWidth="1"/>
    <col min="12074" max="12074" width="9.28515625" style="57" customWidth="1"/>
    <col min="12075" max="12075" width="1" style="57" customWidth="1"/>
    <col min="12076" max="12076" width="12.42578125" style="57" customWidth="1"/>
    <col min="12077" max="12077" width="1.140625" style="57" customWidth="1"/>
    <col min="12078" max="12078" width="11.7109375" style="57" customWidth="1"/>
    <col min="12079" max="12079" width="1.140625" style="57" customWidth="1"/>
    <col min="12080" max="12080" width="9.140625" style="57"/>
    <col min="12081" max="12081" width="1.42578125" style="57" customWidth="1"/>
    <col min="12082" max="12082" width="13.85546875" style="57" customWidth="1"/>
    <col min="12083" max="12083" width="55.28515625" style="57" customWidth="1"/>
    <col min="12084" max="12084" width="2" style="57" customWidth="1"/>
    <col min="12085" max="12085" width="67.42578125" style="57" customWidth="1"/>
    <col min="12086" max="12088" width="9.140625" style="57"/>
    <col min="12089" max="12092" width="9.140625" style="57" customWidth="1"/>
    <col min="12093" max="12093" width="16.85546875" style="57" customWidth="1"/>
    <col min="12094" max="12099" width="9.140625" style="57"/>
    <col min="12100" max="12100" width="9.5703125" style="57" customWidth="1"/>
    <col min="12101" max="12103" width="0" style="57" hidden="1" customWidth="1"/>
    <col min="12104" max="12308" width="9.140625" style="57"/>
    <col min="12309" max="12309" width="2.140625" style="57" customWidth="1"/>
    <col min="12310" max="12310" width="13" style="57" customWidth="1"/>
    <col min="12311" max="12311" width="0.7109375" style="57" customWidth="1"/>
    <col min="12312" max="12312" width="14.7109375" style="57" customWidth="1"/>
    <col min="12313" max="12313" width="1.140625" style="57" customWidth="1"/>
    <col min="12314" max="12314" width="39" style="57" customWidth="1"/>
    <col min="12315" max="12315" width="1" style="57" customWidth="1"/>
    <col min="12316" max="12316" width="19" style="57" customWidth="1"/>
    <col min="12317" max="12317" width="1" style="57" customWidth="1"/>
    <col min="12318" max="12318" width="12.7109375" style="57" customWidth="1"/>
    <col min="12319" max="12319" width="0.7109375" style="57" customWidth="1"/>
    <col min="12320" max="12320" width="11.42578125" style="57" customWidth="1"/>
    <col min="12321" max="12321" width="1" style="57" customWidth="1"/>
    <col min="12322" max="12322" width="12" style="57" customWidth="1"/>
    <col min="12323" max="12323" width="0.85546875" style="57" customWidth="1"/>
    <col min="12324" max="12325" width="0" style="57" hidden="1" customWidth="1"/>
    <col min="12326" max="12326" width="14.28515625" style="57" customWidth="1"/>
    <col min="12327" max="12327" width="0.5703125" style="57" customWidth="1"/>
    <col min="12328" max="12328" width="11.140625" style="57" customWidth="1"/>
    <col min="12329" max="12329" width="1.28515625" style="57" customWidth="1"/>
    <col min="12330" max="12330" width="9.28515625" style="57" customWidth="1"/>
    <col min="12331" max="12331" width="1" style="57" customWidth="1"/>
    <col min="12332" max="12332" width="12.42578125" style="57" customWidth="1"/>
    <col min="12333" max="12333" width="1.140625" style="57" customWidth="1"/>
    <col min="12334" max="12334" width="11.7109375" style="57" customWidth="1"/>
    <col min="12335" max="12335" width="1.140625" style="57" customWidth="1"/>
    <col min="12336" max="12336" width="9.140625" style="57"/>
    <col min="12337" max="12337" width="1.42578125" style="57" customWidth="1"/>
    <col min="12338" max="12338" width="13.85546875" style="57" customWidth="1"/>
    <col min="12339" max="12339" width="55.28515625" style="57" customWidth="1"/>
    <col min="12340" max="12340" width="2" style="57" customWidth="1"/>
    <col min="12341" max="12341" width="67.42578125" style="57" customWidth="1"/>
    <col min="12342" max="12344" width="9.140625" style="57"/>
    <col min="12345" max="12348" width="9.140625" style="57" customWidth="1"/>
    <col min="12349" max="12349" width="16.85546875" style="57" customWidth="1"/>
    <col min="12350" max="12355" width="9.140625" style="57"/>
    <col min="12356" max="12356" width="9.5703125" style="57" customWidth="1"/>
    <col min="12357" max="12359" width="0" style="57" hidden="1" customWidth="1"/>
    <col min="12360" max="12564" width="9.140625" style="57"/>
    <col min="12565" max="12565" width="2.140625" style="57" customWidth="1"/>
    <col min="12566" max="12566" width="13" style="57" customWidth="1"/>
    <col min="12567" max="12567" width="0.7109375" style="57" customWidth="1"/>
    <col min="12568" max="12568" width="14.7109375" style="57" customWidth="1"/>
    <col min="12569" max="12569" width="1.140625" style="57" customWidth="1"/>
    <col min="12570" max="12570" width="39" style="57" customWidth="1"/>
    <col min="12571" max="12571" width="1" style="57" customWidth="1"/>
    <col min="12572" max="12572" width="19" style="57" customWidth="1"/>
    <col min="12573" max="12573" width="1" style="57" customWidth="1"/>
    <col min="12574" max="12574" width="12.7109375" style="57" customWidth="1"/>
    <col min="12575" max="12575" width="0.7109375" style="57" customWidth="1"/>
    <col min="12576" max="12576" width="11.42578125" style="57" customWidth="1"/>
    <col min="12577" max="12577" width="1" style="57" customWidth="1"/>
    <col min="12578" max="12578" width="12" style="57" customWidth="1"/>
    <col min="12579" max="12579" width="0.85546875" style="57" customWidth="1"/>
    <col min="12580" max="12581" width="0" style="57" hidden="1" customWidth="1"/>
    <col min="12582" max="12582" width="14.28515625" style="57" customWidth="1"/>
    <col min="12583" max="12583" width="0.5703125" style="57" customWidth="1"/>
    <col min="12584" max="12584" width="11.140625" style="57" customWidth="1"/>
    <col min="12585" max="12585" width="1.28515625" style="57" customWidth="1"/>
    <col min="12586" max="12586" width="9.28515625" style="57" customWidth="1"/>
    <col min="12587" max="12587" width="1" style="57" customWidth="1"/>
    <col min="12588" max="12588" width="12.42578125" style="57" customWidth="1"/>
    <col min="12589" max="12589" width="1.140625" style="57" customWidth="1"/>
    <col min="12590" max="12590" width="11.7109375" style="57" customWidth="1"/>
    <col min="12591" max="12591" width="1.140625" style="57" customWidth="1"/>
    <col min="12592" max="12592" width="9.140625" style="57"/>
    <col min="12593" max="12593" width="1.42578125" style="57" customWidth="1"/>
    <col min="12594" max="12594" width="13.85546875" style="57" customWidth="1"/>
    <col min="12595" max="12595" width="55.28515625" style="57" customWidth="1"/>
    <col min="12596" max="12596" width="2" style="57" customWidth="1"/>
    <col min="12597" max="12597" width="67.42578125" style="57" customWidth="1"/>
    <col min="12598" max="12600" width="9.140625" style="57"/>
    <col min="12601" max="12604" width="9.140625" style="57" customWidth="1"/>
    <col min="12605" max="12605" width="16.85546875" style="57" customWidth="1"/>
    <col min="12606" max="12611" width="9.140625" style="57"/>
    <col min="12612" max="12612" width="9.5703125" style="57" customWidth="1"/>
    <col min="12613" max="12615" width="0" style="57" hidden="1" customWidth="1"/>
    <col min="12616" max="12820" width="9.140625" style="57"/>
    <col min="12821" max="12821" width="2.140625" style="57" customWidth="1"/>
    <col min="12822" max="12822" width="13" style="57" customWidth="1"/>
    <col min="12823" max="12823" width="0.7109375" style="57" customWidth="1"/>
    <col min="12824" max="12824" width="14.7109375" style="57" customWidth="1"/>
    <col min="12825" max="12825" width="1.140625" style="57" customWidth="1"/>
    <col min="12826" max="12826" width="39" style="57" customWidth="1"/>
    <col min="12827" max="12827" width="1" style="57" customWidth="1"/>
    <col min="12828" max="12828" width="19" style="57" customWidth="1"/>
    <col min="12829" max="12829" width="1" style="57" customWidth="1"/>
    <col min="12830" max="12830" width="12.7109375" style="57" customWidth="1"/>
    <col min="12831" max="12831" width="0.7109375" style="57" customWidth="1"/>
    <col min="12832" max="12832" width="11.42578125" style="57" customWidth="1"/>
    <col min="12833" max="12833" width="1" style="57" customWidth="1"/>
    <col min="12834" max="12834" width="12" style="57" customWidth="1"/>
    <col min="12835" max="12835" width="0.85546875" style="57" customWidth="1"/>
    <col min="12836" max="12837" width="0" style="57" hidden="1" customWidth="1"/>
    <col min="12838" max="12838" width="14.28515625" style="57" customWidth="1"/>
    <col min="12839" max="12839" width="0.5703125" style="57" customWidth="1"/>
    <col min="12840" max="12840" width="11.140625" style="57" customWidth="1"/>
    <col min="12841" max="12841" width="1.28515625" style="57" customWidth="1"/>
    <col min="12842" max="12842" width="9.28515625" style="57" customWidth="1"/>
    <col min="12843" max="12843" width="1" style="57" customWidth="1"/>
    <col min="12844" max="12844" width="12.42578125" style="57" customWidth="1"/>
    <col min="12845" max="12845" width="1.140625" style="57" customWidth="1"/>
    <col min="12846" max="12846" width="11.7109375" style="57" customWidth="1"/>
    <col min="12847" max="12847" width="1.140625" style="57" customWidth="1"/>
    <col min="12848" max="12848" width="9.140625" style="57"/>
    <col min="12849" max="12849" width="1.42578125" style="57" customWidth="1"/>
    <col min="12850" max="12850" width="13.85546875" style="57" customWidth="1"/>
    <col min="12851" max="12851" width="55.28515625" style="57" customWidth="1"/>
    <col min="12852" max="12852" width="2" style="57" customWidth="1"/>
    <col min="12853" max="12853" width="67.42578125" style="57" customWidth="1"/>
    <col min="12854" max="12856" width="9.140625" style="57"/>
    <col min="12857" max="12860" width="9.140625" style="57" customWidth="1"/>
    <col min="12861" max="12861" width="16.85546875" style="57" customWidth="1"/>
    <col min="12862" max="12867" width="9.140625" style="57"/>
    <col min="12868" max="12868" width="9.5703125" style="57" customWidth="1"/>
    <col min="12869" max="12871" width="0" style="57" hidden="1" customWidth="1"/>
    <col min="12872" max="13076" width="9.140625" style="57"/>
    <col min="13077" max="13077" width="2.140625" style="57" customWidth="1"/>
    <col min="13078" max="13078" width="13" style="57" customWidth="1"/>
    <col min="13079" max="13079" width="0.7109375" style="57" customWidth="1"/>
    <col min="13080" max="13080" width="14.7109375" style="57" customWidth="1"/>
    <col min="13081" max="13081" width="1.140625" style="57" customWidth="1"/>
    <col min="13082" max="13082" width="39" style="57" customWidth="1"/>
    <col min="13083" max="13083" width="1" style="57" customWidth="1"/>
    <col min="13084" max="13084" width="19" style="57" customWidth="1"/>
    <col min="13085" max="13085" width="1" style="57" customWidth="1"/>
    <col min="13086" max="13086" width="12.7109375" style="57" customWidth="1"/>
    <col min="13087" max="13087" width="0.7109375" style="57" customWidth="1"/>
    <col min="13088" max="13088" width="11.42578125" style="57" customWidth="1"/>
    <col min="13089" max="13089" width="1" style="57" customWidth="1"/>
    <col min="13090" max="13090" width="12" style="57" customWidth="1"/>
    <col min="13091" max="13091" width="0.85546875" style="57" customWidth="1"/>
    <col min="13092" max="13093" width="0" style="57" hidden="1" customWidth="1"/>
    <col min="13094" max="13094" width="14.28515625" style="57" customWidth="1"/>
    <col min="13095" max="13095" width="0.5703125" style="57" customWidth="1"/>
    <col min="13096" max="13096" width="11.140625" style="57" customWidth="1"/>
    <col min="13097" max="13097" width="1.28515625" style="57" customWidth="1"/>
    <col min="13098" max="13098" width="9.28515625" style="57" customWidth="1"/>
    <col min="13099" max="13099" width="1" style="57" customWidth="1"/>
    <col min="13100" max="13100" width="12.42578125" style="57" customWidth="1"/>
    <col min="13101" max="13101" width="1.140625" style="57" customWidth="1"/>
    <col min="13102" max="13102" width="11.7109375" style="57" customWidth="1"/>
    <col min="13103" max="13103" width="1.140625" style="57" customWidth="1"/>
    <col min="13104" max="13104" width="9.140625" style="57"/>
    <col min="13105" max="13105" width="1.42578125" style="57" customWidth="1"/>
    <col min="13106" max="13106" width="13.85546875" style="57" customWidth="1"/>
    <col min="13107" max="13107" width="55.28515625" style="57" customWidth="1"/>
    <col min="13108" max="13108" width="2" style="57" customWidth="1"/>
    <col min="13109" max="13109" width="67.42578125" style="57" customWidth="1"/>
    <col min="13110" max="13112" width="9.140625" style="57"/>
    <col min="13113" max="13116" width="9.140625" style="57" customWidth="1"/>
    <col min="13117" max="13117" width="16.85546875" style="57" customWidth="1"/>
    <col min="13118" max="13123" width="9.140625" style="57"/>
    <col min="13124" max="13124" width="9.5703125" style="57" customWidth="1"/>
    <col min="13125" max="13127" width="0" style="57" hidden="1" customWidth="1"/>
    <col min="13128" max="13332" width="9.140625" style="57"/>
    <col min="13333" max="13333" width="2.140625" style="57" customWidth="1"/>
    <col min="13334" max="13334" width="13" style="57" customWidth="1"/>
    <col min="13335" max="13335" width="0.7109375" style="57" customWidth="1"/>
    <col min="13336" max="13336" width="14.7109375" style="57" customWidth="1"/>
    <col min="13337" max="13337" width="1.140625" style="57" customWidth="1"/>
    <col min="13338" max="13338" width="39" style="57" customWidth="1"/>
    <col min="13339" max="13339" width="1" style="57" customWidth="1"/>
    <col min="13340" max="13340" width="19" style="57" customWidth="1"/>
    <col min="13341" max="13341" width="1" style="57" customWidth="1"/>
    <col min="13342" max="13342" width="12.7109375" style="57" customWidth="1"/>
    <col min="13343" max="13343" width="0.7109375" style="57" customWidth="1"/>
    <col min="13344" max="13344" width="11.42578125" style="57" customWidth="1"/>
    <col min="13345" max="13345" width="1" style="57" customWidth="1"/>
    <col min="13346" max="13346" width="12" style="57" customWidth="1"/>
    <col min="13347" max="13347" width="0.85546875" style="57" customWidth="1"/>
    <col min="13348" max="13349" width="0" style="57" hidden="1" customWidth="1"/>
    <col min="13350" max="13350" width="14.28515625" style="57" customWidth="1"/>
    <col min="13351" max="13351" width="0.5703125" style="57" customWidth="1"/>
    <col min="13352" max="13352" width="11.140625" style="57" customWidth="1"/>
    <col min="13353" max="13353" width="1.28515625" style="57" customWidth="1"/>
    <col min="13354" max="13354" width="9.28515625" style="57" customWidth="1"/>
    <col min="13355" max="13355" width="1" style="57" customWidth="1"/>
    <col min="13356" max="13356" width="12.42578125" style="57" customWidth="1"/>
    <col min="13357" max="13357" width="1.140625" style="57" customWidth="1"/>
    <col min="13358" max="13358" width="11.7109375" style="57" customWidth="1"/>
    <col min="13359" max="13359" width="1.140625" style="57" customWidth="1"/>
    <col min="13360" max="13360" width="9.140625" style="57"/>
    <col min="13361" max="13361" width="1.42578125" style="57" customWidth="1"/>
    <col min="13362" max="13362" width="13.85546875" style="57" customWidth="1"/>
    <col min="13363" max="13363" width="55.28515625" style="57" customWidth="1"/>
    <col min="13364" max="13364" width="2" style="57" customWidth="1"/>
    <col min="13365" max="13365" width="67.42578125" style="57" customWidth="1"/>
    <col min="13366" max="13368" width="9.140625" style="57"/>
    <col min="13369" max="13372" width="9.140625" style="57" customWidth="1"/>
    <col min="13373" max="13373" width="16.85546875" style="57" customWidth="1"/>
    <col min="13374" max="13379" width="9.140625" style="57"/>
    <col min="13380" max="13380" width="9.5703125" style="57" customWidth="1"/>
    <col min="13381" max="13383" width="0" style="57" hidden="1" customWidth="1"/>
    <col min="13384" max="13588" width="9.140625" style="57"/>
    <col min="13589" max="13589" width="2.140625" style="57" customWidth="1"/>
    <col min="13590" max="13590" width="13" style="57" customWidth="1"/>
    <col min="13591" max="13591" width="0.7109375" style="57" customWidth="1"/>
    <col min="13592" max="13592" width="14.7109375" style="57" customWidth="1"/>
    <col min="13593" max="13593" width="1.140625" style="57" customWidth="1"/>
    <col min="13594" max="13594" width="39" style="57" customWidth="1"/>
    <col min="13595" max="13595" width="1" style="57" customWidth="1"/>
    <col min="13596" max="13596" width="19" style="57" customWidth="1"/>
    <col min="13597" max="13597" width="1" style="57" customWidth="1"/>
    <col min="13598" max="13598" width="12.7109375" style="57" customWidth="1"/>
    <col min="13599" max="13599" width="0.7109375" style="57" customWidth="1"/>
    <col min="13600" max="13600" width="11.42578125" style="57" customWidth="1"/>
    <col min="13601" max="13601" width="1" style="57" customWidth="1"/>
    <col min="13602" max="13602" width="12" style="57" customWidth="1"/>
    <col min="13603" max="13603" width="0.85546875" style="57" customWidth="1"/>
    <col min="13604" max="13605" width="0" style="57" hidden="1" customWidth="1"/>
    <col min="13606" max="13606" width="14.28515625" style="57" customWidth="1"/>
    <col min="13607" max="13607" width="0.5703125" style="57" customWidth="1"/>
    <col min="13608" max="13608" width="11.140625" style="57" customWidth="1"/>
    <col min="13609" max="13609" width="1.28515625" style="57" customWidth="1"/>
    <col min="13610" max="13610" width="9.28515625" style="57" customWidth="1"/>
    <col min="13611" max="13611" width="1" style="57" customWidth="1"/>
    <col min="13612" max="13612" width="12.42578125" style="57" customWidth="1"/>
    <col min="13613" max="13613" width="1.140625" style="57" customWidth="1"/>
    <col min="13614" max="13614" width="11.7109375" style="57" customWidth="1"/>
    <col min="13615" max="13615" width="1.140625" style="57" customWidth="1"/>
    <col min="13616" max="13616" width="9.140625" style="57"/>
    <col min="13617" max="13617" width="1.42578125" style="57" customWidth="1"/>
    <col min="13618" max="13618" width="13.85546875" style="57" customWidth="1"/>
    <col min="13619" max="13619" width="55.28515625" style="57" customWidth="1"/>
    <col min="13620" max="13620" width="2" style="57" customWidth="1"/>
    <col min="13621" max="13621" width="67.42578125" style="57" customWidth="1"/>
    <col min="13622" max="13624" width="9.140625" style="57"/>
    <col min="13625" max="13628" width="9.140625" style="57" customWidth="1"/>
    <col min="13629" max="13629" width="16.85546875" style="57" customWidth="1"/>
    <col min="13630" max="13635" width="9.140625" style="57"/>
    <col min="13636" max="13636" width="9.5703125" style="57" customWidth="1"/>
    <col min="13637" max="13639" width="0" style="57" hidden="1" customWidth="1"/>
    <col min="13640" max="13844" width="9.140625" style="57"/>
    <col min="13845" max="13845" width="2.140625" style="57" customWidth="1"/>
    <col min="13846" max="13846" width="13" style="57" customWidth="1"/>
    <col min="13847" max="13847" width="0.7109375" style="57" customWidth="1"/>
    <col min="13848" max="13848" width="14.7109375" style="57" customWidth="1"/>
    <col min="13849" max="13849" width="1.140625" style="57" customWidth="1"/>
    <col min="13850" max="13850" width="39" style="57" customWidth="1"/>
    <col min="13851" max="13851" width="1" style="57" customWidth="1"/>
    <col min="13852" max="13852" width="19" style="57" customWidth="1"/>
    <col min="13853" max="13853" width="1" style="57" customWidth="1"/>
    <col min="13854" max="13854" width="12.7109375" style="57" customWidth="1"/>
    <col min="13855" max="13855" width="0.7109375" style="57" customWidth="1"/>
    <col min="13856" max="13856" width="11.42578125" style="57" customWidth="1"/>
    <col min="13857" max="13857" width="1" style="57" customWidth="1"/>
    <col min="13858" max="13858" width="12" style="57" customWidth="1"/>
    <col min="13859" max="13859" width="0.85546875" style="57" customWidth="1"/>
    <col min="13860" max="13861" width="0" style="57" hidden="1" customWidth="1"/>
    <col min="13862" max="13862" width="14.28515625" style="57" customWidth="1"/>
    <col min="13863" max="13863" width="0.5703125" style="57" customWidth="1"/>
    <col min="13864" max="13864" width="11.140625" style="57" customWidth="1"/>
    <col min="13865" max="13865" width="1.28515625" style="57" customWidth="1"/>
    <col min="13866" max="13866" width="9.28515625" style="57" customWidth="1"/>
    <col min="13867" max="13867" width="1" style="57" customWidth="1"/>
    <col min="13868" max="13868" width="12.42578125" style="57" customWidth="1"/>
    <col min="13869" max="13869" width="1.140625" style="57" customWidth="1"/>
    <col min="13870" max="13870" width="11.7109375" style="57" customWidth="1"/>
    <col min="13871" max="13871" width="1.140625" style="57" customWidth="1"/>
    <col min="13872" max="13872" width="9.140625" style="57"/>
    <col min="13873" max="13873" width="1.42578125" style="57" customWidth="1"/>
    <col min="13874" max="13874" width="13.85546875" style="57" customWidth="1"/>
    <col min="13875" max="13875" width="55.28515625" style="57" customWidth="1"/>
    <col min="13876" max="13876" width="2" style="57" customWidth="1"/>
    <col min="13877" max="13877" width="67.42578125" style="57" customWidth="1"/>
    <col min="13878" max="13880" width="9.140625" style="57"/>
    <col min="13881" max="13884" width="9.140625" style="57" customWidth="1"/>
    <col min="13885" max="13885" width="16.85546875" style="57" customWidth="1"/>
    <col min="13886" max="13891" width="9.140625" style="57"/>
    <col min="13892" max="13892" width="9.5703125" style="57" customWidth="1"/>
    <col min="13893" max="13895" width="0" style="57" hidden="1" customWidth="1"/>
    <col min="13896" max="14100" width="9.140625" style="57"/>
    <col min="14101" max="14101" width="2.140625" style="57" customWidth="1"/>
    <col min="14102" max="14102" width="13" style="57" customWidth="1"/>
    <col min="14103" max="14103" width="0.7109375" style="57" customWidth="1"/>
    <col min="14104" max="14104" width="14.7109375" style="57" customWidth="1"/>
    <col min="14105" max="14105" width="1.140625" style="57" customWidth="1"/>
    <col min="14106" max="14106" width="39" style="57" customWidth="1"/>
    <col min="14107" max="14107" width="1" style="57" customWidth="1"/>
    <col min="14108" max="14108" width="19" style="57" customWidth="1"/>
    <col min="14109" max="14109" width="1" style="57" customWidth="1"/>
    <col min="14110" max="14110" width="12.7109375" style="57" customWidth="1"/>
    <col min="14111" max="14111" width="0.7109375" style="57" customWidth="1"/>
    <col min="14112" max="14112" width="11.42578125" style="57" customWidth="1"/>
    <col min="14113" max="14113" width="1" style="57" customWidth="1"/>
    <col min="14114" max="14114" width="12" style="57" customWidth="1"/>
    <col min="14115" max="14115" width="0.85546875" style="57" customWidth="1"/>
    <col min="14116" max="14117" width="0" style="57" hidden="1" customWidth="1"/>
    <col min="14118" max="14118" width="14.28515625" style="57" customWidth="1"/>
    <col min="14119" max="14119" width="0.5703125" style="57" customWidth="1"/>
    <col min="14120" max="14120" width="11.140625" style="57" customWidth="1"/>
    <col min="14121" max="14121" width="1.28515625" style="57" customWidth="1"/>
    <col min="14122" max="14122" width="9.28515625" style="57" customWidth="1"/>
    <col min="14123" max="14123" width="1" style="57" customWidth="1"/>
    <col min="14124" max="14124" width="12.42578125" style="57" customWidth="1"/>
    <col min="14125" max="14125" width="1.140625" style="57" customWidth="1"/>
    <col min="14126" max="14126" width="11.7109375" style="57" customWidth="1"/>
    <col min="14127" max="14127" width="1.140625" style="57" customWidth="1"/>
    <col min="14128" max="14128" width="9.140625" style="57"/>
    <col min="14129" max="14129" width="1.42578125" style="57" customWidth="1"/>
    <col min="14130" max="14130" width="13.85546875" style="57" customWidth="1"/>
    <col min="14131" max="14131" width="55.28515625" style="57" customWidth="1"/>
    <col min="14132" max="14132" width="2" style="57" customWidth="1"/>
    <col min="14133" max="14133" width="67.42578125" style="57" customWidth="1"/>
    <col min="14134" max="14136" width="9.140625" style="57"/>
    <col min="14137" max="14140" width="9.140625" style="57" customWidth="1"/>
    <col min="14141" max="14141" width="16.85546875" style="57" customWidth="1"/>
    <col min="14142" max="14147" width="9.140625" style="57"/>
    <col min="14148" max="14148" width="9.5703125" style="57" customWidth="1"/>
    <col min="14149" max="14151" width="0" style="57" hidden="1" customWidth="1"/>
    <col min="14152" max="14356" width="9.140625" style="57"/>
    <col min="14357" max="14357" width="2.140625" style="57" customWidth="1"/>
    <col min="14358" max="14358" width="13" style="57" customWidth="1"/>
    <col min="14359" max="14359" width="0.7109375" style="57" customWidth="1"/>
    <col min="14360" max="14360" width="14.7109375" style="57" customWidth="1"/>
    <col min="14361" max="14361" width="1.140625" style="57" customWidth="1"/>
    <col min="14362" max="14362" width="39" style="57" customWidth="1"/>
    <col min="14363" max="14363" width="1" style="57" customWidth="1"/>
    <col min="14364" max="14364" width="19" style="57" customWidth="1"/>
    <col min="14365" max="14365" width="1" style="57" customWidth="1"/>
    <col min="14366" max="14366" width="12.7109375" style="57" customWidth="1"/>
    <col min="14367" max="14367" width="0.7109375" style="57" customWidth="1"/>
    <col min="14368" max="14368" width="11.42578125" style="57" customWidth="1"/>
    <col min="14369" max="14369" width="1" style="57" customWidth="1"/>
    <col min="14370" max="14370" width="12" style="57" customWidth="1"/>
    <col min="14371" max="14371" width="0.85546875" style="57" customWidth="1"/>
    <col min="14372" max="14373" width="0" style="57" hidden="1" customWidth="1"/>
    <col min="14374" max="14374" width="14.28515625" style="57" customWidth="1"/>
    <col min="14375" max="14375" width="0.5703125" style="57" customWidth="1"/>
    <col min="14376" max="14376" width="11.140625" style="57" customWidth="1"/>
    <col min="14377" max="14377" width="1.28515625" style="57" customWidth="1"/>
    <col min="14378" max="14378" width="9.28515625" style="57" customWidth="1"/>
    <col min="14379" max="14379" width="1" style="57" customWidth="1"/>
    <col min="14380" max="14380" width="12.42578125" style="57" customWidth="1"/>
    <col min="14381" max="14381" width="1.140625" style="57" customWidth="1"/>
    <col min="14382" max="14382" width="11.7109375" style="57" customWidth="1"/>
    <col min="14383" max="14383" width="1.140625" style="57" customWidth="1"/>
    <col min="14384" max="14384" width="9.140625" style="57"/>
    <col min="14385" max="14385" width="1.42578125" style="57" customWidth="1"/>
    <col min="14386" max="14386" width="13.85546875" style="57" customWidth="1"/>
    <col min="14387" max="14387" width="55.28515625" style="57" customWidth="1"/>
    <col min="14388" max="14388" width="2" style="57" customWidth="1"/>
    <col min="14389" max="14389" width="67.42578125" style="57" customWidth="1"/>
    <col min="14390" max="14392" width="9.140625" style="57"/>
    <col min="14393" max="14396" width="9.140625" style="57" customWidth="1"/>
    <col min="14397" max="14397" width="16.85546875" style="57" customWidth="1"/>
    <col min="14398" max="14403" width="9.140625" style="57"/>
    <col min="14404" max="14404" width="9.5703125" style="57" customWidth="1"/>
    <col min="14405" max="14407" width="0" style="57" hidden="1" customWidth="1"/>
    <col min="14408" max="14612" width="9.140625" style="57"/>
    <col min="14613" max="14613" width="2.140625" style="57" customWidth="1"/>
    <col min="14614" max="14614" width="13" style="57" customWidth="1"/>
    <col min="14615" max="14615" width="0.7109375" style="57" customWidth="1"/>
    <col min="14616" max="14616" width="14.7109375" style="57" customWidth="1"/>
    <col min="14617" max="14617" width="1.140625" style="57" customWidth="1"/>
    <col min="14618" max="14618" width="39" style="57" customWidth="1"/>
    <col min="14619" max="14619" width="1" style="57" customWidth="1"/>
    <col min="14620" max="14620" width="19" style="57" customWidth="1"/>
    <col min="14621" max="14621" width="1" style="57" customWidth="1"/>
    <col min="14622" max="14622" width="12.7109375" style="57" customWidth="1"/>
    <col min="14623" max="14623" width="0.7109375" style="57" customWidth="1"/>
    <col min="14624" max="14624" width="11.42578125" style="57" customWidth="1"/>
    <col min="14625" max="14625" width="1" style="57" customWidth="1"/>
    <col min="14626" max="14626" width="12" style="57" customWidth="1"/>
    <col min="14627" max="14627" width="0.85546875" style="57" customWidth="1"/>
    <col min="14628" max="14629" width="0" style="57" hidden="1" customWidth="1"/>
    <col min="14630" max="14630" width="14.28515625" style="57" customWidth="1"/>
    <col min="14631" max="14631" width="0.5703125" style="57" customWidth="1"/>
    <col min="14632" max="14632" width="11.140625" style="57" customWidth="1"/>
    <col min="14633" max="14633" width="1.28515625" style="57" customWidth="1"/>
    <col min="14634" max="14634" width="9.28515625" style="57" customWidth="1"/>
    <col min="14635" max="14635" width="1" style="57" customWidth="1"/>
    <col min="14636" max="14636" width="12.42578125" style="57" customWidth="1"/>
    <col min="14637" max="14637" width="1.140625" style="57" customWidth="1"/>
    <col min="14638" max="14638" width="11.7109375" style="57" customWidth="1"/>
    <col min="14639" max="14639" width="1.140625" style="57" customWidth="1"/>
    <col min="14640" max="14640" width="9.140625" style="57"/>
    <col min="14641" max="14641" width="1.42578125" style="57" customWidth="1"/>
    <col min="14642" max="14642" width="13.85546875" style="57" customWidth="1"/>
    <col min="14643" max="14643" width="55.28515625" style="57" customWidth="1"/>
    <col min="14644" max="14644" width="2" style="57" customWidth="1"/>
    <col min="14645" max="14645" width="67.42578125" style="57" customWidth="1"/>
    <col min="14646" max="14648" width="9.140625" style="57"/>
    <col min="14649" max="14652" width="9.140625" style="57" customWidth="1"/>
    <col min="14653" max="14653" width="16.85546875" style="57" customWidth="1"/>
    <col min="14654" max="14659" width="9.140625" style="57"/>
    <col min="14660" max="14660" width="9.5703125" style="57" customWidth="1"/>
    <col min="14661" max="14663" width="0" style="57" hidden="1" customWidth="1"/>
    <col min="14664" max="14868" width="9.140625" style="57"/>
    <col min="14869" max="14869" width="2.140625" style="57" customWidth="1"/>
    <col min="14870" max="14870" width="13" style="57" customWidth="1"/>
    <col min="14871" max="14871" width="0.7109375" style="57" customWidth="1"/>
    <col min="14872" max="14872" width="14.7109375" style="57" customWidth="1"/>
    <col min="14873" max="14873" width="1.140625" style="57" customWidth="1"/>
    <col min="14874" max="14874" width="39" style="57" customWidth="1"/>
    <col min="14875" max="14875" width="1" style="57" customWidth="1"/>
    <col min="14876" max="14876" width="19" style="57" customWidth="1"/>
    <col min="14877" max="14877" width="1" style="57" customWidth="1"/>
    <col min="14878" max="14878" width="12.7109375" style="57" customWidth="1"/>
    <col min="14879" max="14879" width="0.7109375" style="57" customWidth="1"/>
    <col min="14880" max="14880" width="11.42578125" style="57" customWidth="1"/>
    <col min="14881" max="14881" width="1" style="57" customWidth="1"/>
    <col min="14882" max="14882" width="12" style="57" customWidth="1"/>
    <col min="14883" max="14883" width="0.85546875" style="57" customWidth="1"/>
    <col min="14884" max="14885" width="0" style="57" hidden="1" customWidth="1"/>
    <col min="14886" max="14886" width="14.28515625" style="57" customWidth="1"/>
    <col min="14887" max="14887" width="0.5703125" style="57" customWidth="1"/>
    <col min="14888" max="14888" width="11.140625" style="57" customWidth="1"/>
    <col min="14889" max="14889" width="1.28515625" style="57" customWidth="1"/>
    <col min="14890" max="14890" width="9.28515625" style="57" customWidth="1"/>
    <col min="14891" max="14891" width="1" style="57" customWidth="1"/>
    <col min="14892" max="14892" width="12.42578125" style="57" customWidth="1"/>
    <col min="14893" max="14893" width="1.140625" style="57" customWidth="1"/>
    <col min="14894" max="14894" width="11.7109375" style="57" customWidth="1"/>
    <col min="14895" max="14895" width="1.140625" style="57" customWidth="1"/>
    <col min="14896" max="14896" width="9.140625" style="57"/>
    <col min="14897" max="14897" width="1.42578125" style="57" customWidth="1"/>
    <col min="14898" max="14898" width="13.85546875" style="57" customWidth="1"/>
    <col min="14899" max="14899" width="55.28515625" style="57" customWidth="1"/>
    <col min="14900" max="14900" width="2" style="57" customWidth="1"/>
    <col min="14901" max="14901" width="67.42578125" style="57" customWidth="1"/>
    <col min="14902" max="14904" width="9.140625" style="57"/>
    <col min="14905" max="14908" width="9.140625" style="57" customWidth="1"/>
    <col min="14909" max="14909" width="16.85546875" style="57" customWidth="1"/>
    <col min="14910" max="14915" width="9.140625" style="57"/>
    <col min="14916" max="14916" width="9.5703125" style="57" customWidth="1"/>
    <col min="14917" max="14919" width="0" style="57" hidden="1" customWidth="1"/>
    <col min="14920" max="15124" width="9.140625" style="57"/>
    <col min="15125" max="15125" width="2.140625" style="57" customWidth="1"/>
    <col min="15126" max="15126" width="13" style="57" customWidth="1"/>
    <col min="15127" max="15127" width="0.7109375" style="57" customWidth="1"/>
    <col min="15128" max="15128" width="14.7109375" style="57" customWidth="1"/>
    <col min="15129" max="15129" width="1.140625" style="57" customWidth="1"/>
    <col min="15130" max="15130" width="39" style="57" customWidth="1"/>
    <col min="15131" max="15131" width="1" style="57" customWidth="1"/>
    <col min="15132" max="15132" width="19" style="57" customWidth="1"/>
    <col min="15133" max="15133" width="1" style="57" customWidth="1"/>
    <col min="15134" max="15134" width="12.7109375" style="57" customWidth="1"/>
    <col min="15135" max="15135" width="0.7109375" style="57" customWidth="1"/>
    <col min="15136" max="15136" width="11.42578125" style="57" customWidth="1"/>
    <col min="15137" max="15137" width="1" style="57" customWidth="1"/>
    <col min="15138" max="15138" width="12" style="57" customWidth="1"/>
    <col min="15139" max="15139" width="0.85546875" style="57" customWidth="1"/>
    <col min="15140" max="15141" width="0" style="57" hidden="1" customWidth="1"/>
    <col min="15142" max="15142" width="14.28515625" style="57" customWidth="1"/>
    <col min="15143" max="15143" width="0.5703125" style="57" customWidth="1"/>
    <col min="15144" max="15144" width="11.140625" style="57" customWidth="1"/>
    <col min="15145" max="15145" width="1.28515625" style="57" customWidth="1"/>
    <col min="15146" max="15146" width="9.28515625" style="57" customWidth="1"/>
    <col min="15147" max="15147" width="1" style="57" customWidth="1"/>
    <col min="15148" max="15148" width="12.42578125" style="57" customWidth="1"/>
    <col min="15149" max="15149" width="1.140625" style="57" customWidth="1"/>
    <col min="15150" max="15150" width="11.7109375" style="57" customWidth="1"/>
    <col min="15151" max="15151" width="1.140625" style="57" customWidth="1"/>
    <col min="15152" max="15152" width="9.140625" style="57"/>
    <col min="15153" max="15153" width="1.42578125" style="57" customWidth="1"/>
    <col min="15154" max="15154" width="13.85546875" style="57" customWidth="1"/>
    <col min="15155" max="15155" width="55.28515625" style="57" customWidth="1"/>
    <col min="15156" max="15156" width="2" style="57" customWidth="1"/>
    <col min="15157" max="15157" width="67.42578125" style="57" customWidth="1"/>
    <col min="15158" max="15160" width="9.140625" style="57"/>
    <col min="15161" max="15164" width="9.140625" style="57" customWidth="1"/>
    <col min="15165" max="15165" width="16.85546875" style="57" customWidth="1"/>
    <col min="15166" max="15171" width="9.140625" style="57"/>
    <col min="15172" max="15172" width="9.5703125" style="57" customWidth="1"/>
    <col min="15173" max="15175" width="0" style="57" hidden="1" customWidth="1"/>
    <col min="15176" max="15380" width="9.140625" style="57"/>
    <col min="15381" max="15381" width="2.140625" style="57" customWidth="1"/>
    <col min="15382" max="15382" width="13" style="57" customWidth="1"/>
    <col min="15383" max="15383" width="0.7109375" style="57" customWidth="1"/>
    <col min="15384" max="15384" width="14.7109375" style="57" customWidth="1"/>
    <col min="15385" max="15385" width="1.140625" style="57" customWidth="1"/>
    <col min="15386" max="15386" width="39" style="57" customWidth="1"/>
    <col min="15387" max="15387" width="1" style="57" customWidth="1"/>
    <col min="15388" max="15388" width="19" style="57" customWidth="1"/>
    <col min="15389" max="15389" width="1" style="57" customWidth="1"/>
    <col min="15390" max="15390" width="12.7109375" style="57" customWidth="1"/>
    <col min="15391" max="15391" width="0.7109375" style="57" customWidth="1"/>
    <col min="15392" max="15392" width="11.42578125" style="57" customWidth="1"/>
    <col min="15393" max="15393" width="1" style="57" customWidth="1"/>
    <col min="15394" max="15394" width="12" style="57" customWidth="1"/>
    <col min="15395" max="15395" width="0.85546875" style="57" customWidth="1"/>
    <col min="15396" max="15397" width="0" style="57" hidden="1" customWidth="1"/>
    <col min="15398" max="15398" width="14.28515625" style="57" customWidth="1"/>
    <col min="15399" max="15399" width="0.5703125" style="57" customWidth="1"/>
    <col min="15400" max="15400" width="11.140625" style="57" customWidth="1"/>
    <col min="15401" max="15401" width="1.28515625" style="57" customWidth="1"/>
    <col min="15402" max="15402" width="9.28515625" style="57" customWidth="1"/>
    <col min="15403" max="15403" width="1" style="57" customWidth="1"/>
    <col min="15404" max="15404" width="12.42578125" style="57" customWidth="1"/>
    <col min="15405" max="15405" width="1.140625" style="57" customWidth="1"/>
    <col min="15406" max="15406" width="11.7109375" style="57" customWidth="1"/>
    <col min="15407" max="15407" width="1.140625" style="57" customWidth="1"/>
    <col min="15408" max="15408" width="9.140625" style="57"/>
    <col min="15409" max="15409" width="1.42578125" style="57" customWidth="1"/>
    <col min="15410" max="15410" width="13.85546875" style="57" customWidth="1"/>
    <col min="15411" max="15411" width="55.28515625" style="57" customWidth="1"/>
    <col min="15412" max="15412" width="2" style="57" customWidth="1"/>
    <col min="15413" max="15413" width="67.42578125" style="57" customWidth="1"/>
    <col min="15414" max="15416" width="9.140625" style="57"/>
    <col min="15417" max="15420" width="9.140625" style="57" customWidth="1"/>
    <col min="15421" max="15421" width="16.85546875" style="57" customWidth="1"/>
    <col min="15422" max="15427" width="9.140625" style="57"/>
    <col min="15428" max="15428" width="9.5703125" style="57" customWidth="1"/>
    <col min="15429" max="15431" width="0" style="57" hidden="1" customWidth="1"/>
    <col min="15432" max="15636" width="9.140625" style="57"/>
    <col min="15637" max="15637" width="2.140625" style="57" customWidth="1"/>
    <col min="15638" max="15638" width="13" style="57" customWidth="1"/>
    <col min="15639" max="15639" width="0.7109375" style="57" customWidth="1"/>
    <col min="15640" max="15640" width="14.7109375" style="57" customWidth="1"/>
    <col min="15641" max="15641" width="1.140625" style="57" customWidth="1"/>
    <col min="15642" max="15642" width="39" style="57" customWidth="1"/>
    <col min="15643" max="15643" width="1" style="57" customWidth="1"/>
    <col min="15644" max="15644" width="19" style="57" customWidth="1"/>
    <col min="15645" max="15645" width="1" style="57" customWidth="1"/>
    <col min="15646" max="15646" width="12.7109375" style="57" customWidth="1"/>
    <col min="15647" max="15647" width="0.7109375" style="57" customWidth="1"/>
    <col min="15648" max="15648" width="11.42578125" style="57" customWidth="1"/>
    <col min="15649" max="15649" width="1" style="57" customWidth="1"/>
    <col min="15650" max="15650" width="12" style="57" customWidth="1"/>
    <col min="15651" max="15651" width="0.85546875" style="57" customWidth="1"/>
    <col min="15652" max="15653" width="0" style="57" hidden="1" customWidth="1"/>
    <col min="15654" max="15654" width="14.28515625" style="57" customWidth="1"/>
    <col min="15655" max="15655" width="0.5703125" style="57" customWidth="1"/>
    <col min="15656" max="15656" width="11.140625" style="57" customWidth="1"/>
    <col min="15657" max="15657" width="1.28515625" style="57" customWidth="1"/>
    <col min="15658" max="15658" width="9.28515625" style="57" customWidth="1"/>
    <col min="15659" max="15659" width="1" style="57" customWidth="1"/>
    <col min="15660" max="15660" width="12.42578125" style="57" customWidth="1"/>
    <col min="15661" max="15661" width="1.140625" style="57" customWidth="1"/>
    <col min="15662" max="15662" width="11.7109375" style="57" customWidth="1"/>
    <col min="15663" max="15663" width="1.140625" style="57" customWidth="1"/>
    <col min="15664" max="15664" width="9.140625" style="57"/>
    <col min="15665" max="15665" width="1.42578125" style="57" customWidth="1"/>
    <col min="15666" max="15666" width="13.85546875" style="57" customWidth="1"/>
    <col min="15667" max="15667" width="55.28515625" style="57" customWidth="1"/>
    <col min="15668" max="15668" width="2" style="57" customWidth="1"/>
    <col min="15669" max="15669" width="67.42578125" style="57" customWidth="1"/>
    <col min="15670" max="15672" width="9.140625" style="57"/>
    <col min="15673" max="15676" width="9.140625" style="57" customWidth="1"/>
    <col min="15677" max="15677" width="16.85546875" style="57" customWidth="1"/>
    <col min="15678" max="15683" width="9.140625" style="57"/>
    <col min="15684" max="15684" width="9.5703125" style="57" customWidth="1"/>
    <col min="15685" max="15687" width="0" style="57" hidden="1" customWidth="1"/>
    <col min="15688" max="15892" width="9.140625" style="57"/>
    <col min="15893" max="15893" width="2.140625" style="57" customWidth="1"/>
    <col min="15894" max="15894" width="13" style="57" customWidth="1"/>
    <col min="15895" max="15895" width="0.7109375" style="57" customWidth="1"/>
    <col min="15896" max="15896" width="14.7109375" style="57" customWidth="1"/>
    <col min="15897" max="15897" width="1.140625" style="57" customWidth="1"/>
    <col min="15898" max="15898" width="39" style="57" customWidth="1"/>
    <col min="15899" max="15899" width="1" style="57" customWidth="1"/>
    <col min="15900" max="15900" width="19" style="57" customWidth="1"/>
    <col min="15901" max="15901" width="1" style="57" customWidth="1"/>
    <col min="15902" max="15902" width="12.7109375" style="57" customWidth="1"/>
    <col min="15903" max="15903" width="0.7109375" style="57" customWidth="1"/>
    <col min="15904" max="15904" width="11.42578125" style="57" customWidth="1"/>
    <col min="15905" max="15905" width="1" style="57" customWidth="1"/>
    <col min="15906" max="15906" width="12" style="57" customWidth="1"/>
    <col min="15907" max="15907" width="0.85546875" style="57" customWidth="1"/>
    <col min="15908" max="15909" width="0" style="57" hidden="1" customWidth="1"/>
    <col min="15910" max="15910" width="14.28515625" style="57" customWidth="1"/>
    <col min="15911" max="15911" width="0.5703125" style="57" customWidth="1"/>
    <col min="15912" max="15912" width="11.140625" style="57" customWidth="1"/>
    <col min="15913" max="15913" width="1.28515625" style="57" customWidth="1"/>
    <col min="15914" max="15914" width="9.28515625" style="57" customWidth="1"/>
    <col min="15915" max="15915" width="1" style="57" customWidth="1"/>
    <col min="15916" max="15916" width="12.42578125" style="57" customWidth="1"/>
    <col min="15917" max="15917" width="1.140625" style="57" customWidth="1"/>
    <col min="15918" max="15918" width="11.7109375" style="57" customWidth="1"/>
    <col min="15919" max="15919" width="1.140625" style="57" customWidth="1"/>
    <col min="15920" max="15920" width="9.140625" style="57"/>
    <col min="15921" max="15921" width="1.42578125" style="57" customWidth="1"/>
    <col min="15922" max="15922" width="13.85546875" style="57" customWidth="1"/>
    <col min="15923" max="15923" width="55.28515625" style="57" customWidth="1"/>
    <col min="15924" max="15924" width="2" style="57" customWidth="1"/>
    <col min="15925" max="15925" width="67.42578125" style="57" customWidth="1"/>
    <col min="15926" max="15928" width="9.140625" style="57"/>
    <col min="15929" max="15932" width="9.140625" style="57" customWidth="1"/>
    <col min="15933" max="15933" width="16.85546875" style="57" customWidth="1"/>
    <col min="15934" max="15939" width="9.140625" style="57"/>
    <col min="15940" max="15940" width="9.5703125" style="57" customWidth="1"/>
    <col min="15941" max="15943" width="0" style="57" hidden="1" customWidth="1"/>
    <col min="15944" max="16148" width="9.140625" style="57"/>
    <col min="16149" max="16149" width="2.140625" style="57" customWidth="1"/>
    <col min="16150" max="16150" width="13" style="57" customWidth="1"/>
    <col min="16151" max="16151" width="0.7109375" style="57" customWidth="1"/>
    <col min="16152" max="16152" width="14.7109375" style="57" customWidth="1"/>
    <col min="16153" max="16153" width="1.140625" style="57" customWidth="1"/>
    <col min="16154" max="16154" width="39" style="57" customWidth="1"/>
    <col min="16155" max="16155" width="1" style="57" customWidth="1"/>
    <col min="16156" max="16156" width="19" style="57" customWidth="1"/>
    <col min="16157" max="16157" width="1" style="57" customWidth="1"/>
    <col min="16158" max="16158" width="12.7109375" style="57" customWidth="1"/>
    <col min="16159" max="16159" width="0.7109375" style="57" customWidth="1"/>
    <col min="16160" max="16160" width="11.42578125" style="57" customWidth="1"/>
    <col min="16161" max="16161" width="1" style="57" customWidth="1"/>
    <col min="16162" max="16162" width="12" style="57" customWidth="1"/>
    <col min="16163" max="16163" width="0.85546875" style="57" customWidth="1"/>
    <col min="16164" max="16165" width="0" style="57" hidden="1" customWidth="1"/>
    <col min="16166" max="16166" width="14.28515625" style="57" customWidth="1"/>
    <col min="16167" max="16167" width="0.5703125" style="57" customWidth="1"/>
    <col min="16168" max="16168" width="11.140625" style="57" customWidth="1"/>
    <col min="16169" max="16169" width="1.28515625" style="57" customWidth="1"/>
    <col min="16170" max="16170" width="9.28515625" style="57" customWidth="1"/>
    <col min="16171" max="16171" width="1" style="57" customWidth="1"/>
    <col min="16172" max="16172" width="12.42578125" style="57" customWidth="1"/>
    <col min="16173" max="16173" width="1.140625" style="57" customWidth="1"/>
    <col min="16174" max="16174" width="11.7109375" style="57" customWidth="1"/>
    <col min="16175" max="16175" width="1.140625" style="57" customWidth="1"/>
    <col min="16176" max="16176" width="9.140625" style="57"/>
    <col min="16177" max="16177" width="1.42578125" style="57" customWidth="1"/>
    <col min="16178" max="16178" width="13.85546875" style="57" customWidth="1"/>
    <col min="16179" max="16179" width="55.28515625" style="57" customWidth="1"/>
    <col min="16180" max="16180" width="2" style="57" customWidth="1"/>
    <col min="16181" max="16181" width="67.42578125" style="57" customWidth="1"/>
    <col min="16182" max="16184" width="9.140625" style="57"/>
    <col min="16185" max="16188" width="9.140625" style="57" customWidth="1"/>
    <col min="16189" max="16189" width="16.85546875" style="57" customWidth="1"/>
    <col min="16190" max="16195" width="9.140625" style="57"/>
    <col min="16196" max="16196" width="9.5703125" style="57" customWidth="1"/>
    <col min="16197" max="16199" width="0" style="57" hidden="1" customWidth="1"/>
    <col min="16200" max="16384" width="9.140625" style="57"/>
  </cols>
  <sheetData>
    <row r="1" spans="1:65" s="78" customFormat="1" ht="52.15" customHeight="1" x14ac:dyDescent="0.2">
      <c r="A1" s="71"/>
      <c r="B1" s="72" t="s">
        <v>9</v>
      </c>
      <c r="C1" s="71"/>
      <c r="D1" s="72" t="s">
        <v>39</v>
      </c>
      <c r="E1" s="71"/>
      <c r="F1" s="72" t="s">
        <v>0</v>
      </c>
      <c r="G1" s="72"/>
      <c r="H1" s="72" t="s">
        <v>1</v>
      </c>
      <c r="I1" s="72"/>
      <c r="J1" s="221" t="s">
        <v>4</v>
      </c>
      <c r="K1" s="71"/>
      <c r="L1" s="72" t="s">
        <v>2</v>
      </c>
      <c r="M1" s="71"/>
      <c r="N1" s="77" t="s">
        <v>7</v>
      </c>
      <c r="O1" s="71"/>
      <c r="P1" s="72" t="s">
        <v>8</v>
      </c>
      <c r="Q1" s="222" t="s">
        <v>23</v>
      </c>
      <c r="R1" s="73" t="s">
        <v>5</v>
      </c>
      <c r="S1" s="71"/>
      <c r="T1" s="73" t="s">
        <v>48</v>
      </c>
      <c r="U1" s="71"/>
      <c r="V1" s="74" t="s">
        <v>49</v>
      </c>
      <c r="W1" s="71"/>
      <c r="X1" s="75" t="s">
        <v>560</v>
      </c>
      <c r="Y1" s="71"/>
      <c r="Z1" s="75" t="s">
        <v>562</v>
      </c>
      <c r="AA1" s="71"/>
      <c r="AB1" s="76" t="s">
        <v>629</v>
      </c>
      <c r="AC1" s="71"/>
      <c r="AD1" s="76" t="s">
        <v>682</v>
      </c>
      <c r="AE1" s="223"/>
      <c r="AF1" s="75" t="s">
        <v>676</v>
      </c>
      <c r="AG1" s="223"/>
      <c r="AH1" s="75" t="s">
        <v>683</v>
      </c>
      <c r="AI1" s="223"/>
      <c r="AJ1" s="76" t="s">
        <v>684</v>
      </c>
      <c r="AK1" s="76"/>
      <c r="AL1" s="75" t="s">
        <v>678</v>
      </c>
      <c r="AM1" s="76"/>
      <c r="AN1" s="75" t="s">
        <v>685</v>
      </c>
      <c r="AO1" s="223"/>
      <c r="AP1" s="76" t="s">
        <v>686</v>
      </c>
      <c r="AQ1" s="223"/>
      <c r="AR1" s="75" t="s">
        <v>680</v>
      </c>
      <c r="AS1" s="224" t="s">
        <v>24</v>
      </c>
      <c r="AU1" s="224" t="s">
        <v>3</v>
      </c>
      <c r="AV1" s="75" t="s">
        <v>777</v>
      </c>
      <c r="AW1" s="223"/>
      <c r="AX1" s="76" t="s">
        <v>778</v>
      </c>
      <c r="AY1" s="76"/>
      <c r="AZ1" s="75" t="s">
        <v>773</v>
      </c>
      <c r="BA1" s="76"/>
      <c r="BB1" s="75" t="s">
        <v>779</v>
      </c>
      <c r="BC1" s="223"/>
      <c r="BD1" s="76" t="s">
        <v>780</v>
      </c>
      <c r="BE1" s="223"/>
      <c r="BF1" s="341" t="s">
        <v>775</v>
      </c>
      <c r="BG1" s="341"/>
      <c r="BH1" s="341" t="s">
        <v>875</v>
      </c>
      <c r="BI1" s="342" t="s">
        <v>876</v>
      </c>
      <c r="BJ1" s="341"/>
      <c r="BK1" s="341" t="s">
        <v>877</v>
      </c>
      <c r="BL1" s="342" t="s">
        <v>878</v>
      </c>
      <c r="BM1" s="246" t="s">
        <v>781</v>
      </c>
    </row>
    <row r="2" spans="1:65" ht="26.45" customHeight="1" x14ac:dyDescent="0.2">
      <c r="A2" s="257"/>
      <c r="B2" s="257" t="s">
        <v>51</v>
      </c>
      <c r="C2" s="257"/>
      <c r="D2" s="79">
        <v>221</v>
      </c>
      <c r="E2" s="79"/>
      <c r="F2" s="80" t="s">
        <v>52</v>
      </c>
      <c r="G2" s="79"/>
      <c r="H2" s="80" t="s">
        <v>53</v>
      </c>
      <c r="I2" s="79"/>
      <c r="J2" s="225">
        <v>300</v>
      </c>
      <c r="K2" s="79"/>
      <c r="L2" s="80" t="s">
        <v>54</v>
      </c>
      <c r="M2" s="79"/>
      <c r="N2" s="79" t="s">
        <v>55</v>
      </c>
      <c r="O2" s="79"/>
      <c r="P2" s="83">
        <v>38899</v>
      </c>
      <c r="Q2" s="56" t="s">
        <v>56</v>
      </c>
      <c r="R2" s="79" t="s">
        <v>518</v>
      </c>
      <c r="S2" s="79"/>
      <c r="T2" s="81">
        <v>0</v>
      </c>
      <c r="U2" s="79"/>
      <c r="V2" s="82">
        <v>596369</v>
      </c>
      <c r="W2" s="79"/>
      <c r="X2" s="79" t="s">
        <v>630</v>
      </c>
      <c r="Y2" s="79"/>
      <c r="Z2" s="82">
        <v>0</v>
      </c>
      <c r="AA2" s="79"/>
      <c r="AB2" s="82">
        <v>557312</v>
      </c>
      <c r="AC2" s="79"/>
      <c r="AD2" s="82">
        <v>557175</v>
      </c>
      <c r="AE2" s="79"/>
      <c r="AF2" s="79">
        <v>3057</v>
      </c>
      <c r="AG2" s="79"/>
      <c r="AH2" s="82">
        <v>0</v>
      </c>
      <c r="AI2" s="79"/>
      <c r="AJ2" s="82">
        <v>525803</v>
      </c>
      <c r="AK2" s="82"/>
      <c r="AL2" s="79">
        <v>3809</v>
      </c>
      <c r="AM2" s="82"/>
      <c r="AN2" s="82">
        <v>0</v>
      </c>
      <c r="AO2" s="79"/>
      <c r="AP2" s="82">
        <v>544210</v>
      </c>
      <c r="AQ2" s="79"/>
      <c r="AR2" s="79">
        <v>3577</v>
      </c>
      <c r="AS2" s="56" t="s">
        <v>57</v>
      </c>
      <c r="AT2" s="56"/>
      <c r="AU2" s="56" t="s">
        <v>58</v>
      </c>
      <c r="AV2" s="82">
        <v>0</v>
      </c>
      <c r="AW2" s="79"/>
      <c r="AX2" s="82">
        <v>516068</v>
      </c>
      <c r="AY2" s="82"/>
      <c r="AZ2" s="86">
        <v>2919</v>
      </c>
      <c r="BA2" s="82"/>
      <c r="BB2" s="82">
        <v>0</v>
      </c>
      <c r="BC2" s="79"/>
      <c r="BD2" s="82">
        <v>595589</v>
      </c>
      <c r="BE2" s="79"/>
      <c r="BF2" s="340">
        <v>3038</v>
      </c>
      <c r="BG2" s="86"/>
      <c r="BH2" s="86"/>
      <c r="BI2" s="86"/>
      <c r="BJ2" s="86"/>
      <c r="BK2" s="86"/>
      <c r="BL2" s="86"/>
      <c r="BM2" s="315" t="s">
        <v>782</v>
      </c>
    </row>
    <row r="3" spans="1:65" ht="34.15" customHeight="1" x14ac:dyDescent="0.2">
      <c r="A3" s="257"/>
      <c r="B3" s="257"/>
      <c r="C3" s="257"/>
      <c r="D3" s="79">
        <v>221</v>
      </c>
      <c r="E3" s="79"/>
      <c r="F3" s="80" t="s">
        <v>59</v>
      </c>
      <c r="G3" s="79"/>
      <c r="H3" s="80" t="s">
        <v>60</v>
      </c>
      <c r="I3" s="79"/>
      <c r="J3" s="225" t="s">
        <v>796</v>
      </c>
      <c r="K3" s="79"/>
      <c r="L3" s="80" t="s">
        <v>54</v>
      </c>
      <c r="M3" s="79"/>
      <c r="N3" s="79" t="s">
        <v>55</v>
      </c>
      <c r="O3" s="79"/>
      <c r="P3" s="83">
        <v>38899</v>
      </c>
      <c r="Q3" s="56">
        <v>905.14</v>
      </c>
      <c r="R3" s="79" t="s">
        <v>61</v>
      </c>
      <c r="S3" s="79"/>
      <c r="T3" s="81">
        <v>0</v>
      </c>
      <c r="U3" s="79"/>
      <c r="V3" s="82">
        <v>18906.759999999998</v>
      </c>
      <c r="W3" s="79"/>
      <c r="X3" s="79" t="s">
        <v>631</v>
      </c>
      <c r="Y3" s="79"/>
      <c r="Z3" s="82">
        <v>0</v>
      </c>
      <c r="AA3" s="79"/>
      <c r="AB3" s="82">
        <v>18907</v>
      </c>
      <c r="AC3" s="79"/>
      <c r="AD3" s="82">
        <v>20449</v>
      </c>
      <c r="AE3" s="79"/>
      <c r="AF3" s="79">
        <v>77</v>
      </c>
      <c r="AG3" s="79"/>
      <c r="AH3" s="82">
        <v>0</v>
      </c>
      <c r="AI3" s="79"/>
      <c r="AJ3" s="82">
        <v>50025</v>
      </c>
      <c r="AK3" s="82"/>
      <c r="AL3" s="79">
        <v>173</v>
      </c>
      <c r="AM3" s="82"/>
      <c r="AN3" s="82">
        <v>0</v>
      </c>
      <c r="AO3" s="79"/>
      <c r="AP3" s="82">
        <v>34071</v>
      </c>
      <c r="AQ3" s="79"/>
      <c r="AR3" s="79">
        <v>90</v>
      </c>
      <c r="AS3" s="56" t="s">
        <v>62</v>
      </c>
      <c r="AT3" s="56"/>
      <c r="AU3" s="56"/>
      <c r="AV3" s="82">
        <v>0</v>
      </c>
      <c r="AW3" s="79"/>
      <c r="AX3" s="82">
        <v>44726</v>
      </c>
      <c r="AY3" s="82"/>
      <c r="AZ3" s="79">
        <v>74</v>
      </c>
      <c r="BA3" s="82"/>
      <c r="BB3" s="82">
        <v>0</v>
      </c>
      <c r="BC3" s="79"/>
      <c r="BD3" s="82">
        <v>49157</v>
      </c>
      <c r="BE3" s="79"/>
      <c r="BF3" s="79">
        <v>90</v>
      </c>
      <c r="BG3" s="79"/>
      <c r="BH3" s="79"/>
      <c r="BI3" s="79"/>
      <c r="BJ3" s="79"/>
      <c r="BK3" s="79"/>
      <c r="BL3" s="79"/>
      <c r="BM3" s="315" t="s">
        <v>797</v>
      </c>
    </row>
    <row r="4" spans="1:65" ht="34.9" customHeight="1" x14ac:dyDescent="0.2">
      <c r="A4" s="257"/>
      <c r="B4" s="257"/>
      <c r="C4" s="257"/>
      <c r="D4" s="79">
        <v>221</v>
      </c>
      <c r="E4" s="79"/>
      <c r="F4" s="80" t="s">
        <v>63</v>
      </c>
      <c r="G4" s="79"/>
      <c r="H4" s="80" t="s">
        <v>53</v>
      </c>
      <c r="I4" s="79"/>
      <c r="J4" s="225" t="s">
        <v>798</v>
      </c>
      <c r="K4" s="79"/>
      <c r="L4" s="80" t="s">
        <v>64</v>
      </c>
      <c r="M4" s="79"/>
      <c r="N4" s="79" t="s">
        <v>55</v>
      </c>
      <c r="O4" s="79"/>
      <c r="P4" s="83">
        <v>40179</v>
      </c>
      <c r="Q4" s="56">
        <v>905</v>
      </c>
      <c r="R4" s="79" t="s">
        <v>65</v>
      </c>
      <c r="S4" s="79"/>
      <c r="T4" s="81">
        <v>0</v>
      </c>
      <c r="U4" s="79"/>
      <c r="V4" s="82">
        <v>1090405</v>
      </c>
      <c r="W4" s="79"/>
      <c r="X4" s="79">
        <v>870</v>
      </c>
      <c r="Y4" s="79"/>
      <c r="Z4" s="82">
        <v>0</v>
      </c>
      <c r="AA4" s="79"/>
      <c r="AB4" s="82">
        <v>1251453</v>
      </c>
      <c r="AC4" s="79"/>
      <c r="AD4" s="82">
        <v>1271740</v>
      </c>
      <c r="AE4" s="79"/>
      <c r="AF4" s="79">
        <v>825</v>
      </c>
      <c r="AG4" s="79"/>
      <c r="AH4" s="82">
        <v>0</v>
      </c>
      <c r="AI4" s="79"/>
      <c r="AJ4" s="82">
        <v>1471848</v>
      </c>
      <c r="AK4" s="82"/>
      <c r="AL4" s="79">
        <v>815</v>
      </c>
      <c r="AM4" s="82"/>
      <c r="AN4" s="82">
        <v>0</v>
      </c>
      <c r="AO4" s="79"/>
      <c r="AP4" s="82">
        <v>1559682</v>
      </c>
      <c r="AQ4" s="79"/>
      <c r="AR4" s="79">
        <v>960</v>
      </c>
      <c r="AS4" s="56" t="s">
        <v>66</v>
      </c>
      <c r="AT4" s="56"/>
      <c r="AU4" s="56"/>
      <c r="AV4" s="82">
        <v>0</v>
      </c>
      <c r="AW4" s="79"/>
      <c r="AX4" s="82">
        <v>1662324</v>
      </c>
      <c r="AY4" s="82"/>
      <c r="AZ4" s="86">
        <v>1004</v>
      </c>
      <c r="BA4" s="82"/>
      <c r="BB4" s="82">
        <v>0</v>
      </c>
      <c r="BC4" s="79"/>
      <c r="BD4" s="82">
        <v>1824152</v>
      </c>
      <c r="BE4" s="79"/>
      <c r="BF4" s="86">
        <v>1085</v>
      </c>
      <c r="BG4" s="86"/>
      <c r="BH4" s="86"/>
      <c r="BI4" s="86"/>
      <c r="BJ4" s="86"/>
      <c r="BK4" s="86"/>
      <c r="BL4" s="86"/>
      <c r="BM4" s="315" t="s">
        <v>797</v>
      </c>
    </row>
    <row r="5" spans="1:65" ht="24" customHeight="1" x14ac:dyDescent="0.2">
      <c r="A5" s="257"/>
      <c r="B5" s="257"/>
      <c r="C5" s="257"/>
      <c r="D5" s="79">
        <v>221</v>
      </c>
      <c r="E5" s="79"/>
      <c r="F5" s="80" t="s">
        <v>67</v>
      </c>
      <c r="G5" s="79"/>
      <c r="H5" s="80" t="s">
        <v>53</v>
      </c>
      <c r="I5" s="79"/>
      <c r="J5" s="225" t="s">
        <v>799</v>
      </c>
      <c r="K5" s="79"/>
      <c r="L5" s="80" t="s">
        <v>64</v>
      </c>
      <c r="M5" s="79"/>
      <c r="N5" s="79" t="s">
        <v>55</v>
      </c>
      <c r="O5" s="79"/>
      <c r="P5" s="83">
        <v>40179</v>
      </c>
      <c r="Q5" s="56">
        <v>905</v>
      </c>
      <c r="R5" s="79" t="s">
        <v>68</v>
      </c>
      <c r="S5" s="79"/>
      <c r="T5" s="81">
        <v>0</v>
      </c>
      <c r="U5" s="79"/>
      <c r="V5" s="82">
        <v>141451</v>
      </c>
      <c r="W5" s="79"/>
      <c r="X5" s="79">
        <v>91</v>
      </c>
      <c r="Y5" s="79"/>
      <c r="Z5" s="82">
        <v>0</v>
      </c>
      <c r="AA5" s="79"/>
      <c r="AB5" s="82">
        <v>170653</v>
      </c>
      <c r="AC5" s="79"/>
      <c r="AD5" s="82">
        <v>179800</v>
      </c>
      <c r="AE5" s="79"/>
      <c r="AF5" s="79">
        <v>126</v>
      </c>
      <c r="AG5" s="79"/>
      <c r="AH5" s="82">
        <v>0</v>
      </c>
      <c r="AI5" s="79"/>
      <c r="AJ5" s="82">
        <v>198162</v>
      </c>
      <c r="AK5" s="82"/>
      <c r="AL5" s="79">
        <v>128</v>
      </c>
      <c r="AM5" s="82"/>
      <c r="AN5" s="82">
        <v>0</v>
      </c>
      <c r="AO5" s="79"/>
      <c r="AP5" s="82">
        <v>171883</v>
      </c>
      <c r="AQ5" s="79"/>
      <c r="AR5" s="79">
        <v>111</v>
      </c>
      <c r="AS5" s="56" t="s">
        <v>66</v>
      </c>
      <c r="AT5" s="56"/>
      <c r="AU5" s="56"/>
      <c r="AV5" s="82">
        <v>0</v>
      </c>
      <c r="AW5" s="79"/>
      <c r="AX5" s="82">
        <v>181885</v>
      </c>
      <c r="AY5" s="82"/>
      <c r="AZ5" s="79">
        <v>102</v>
      </c>
      <c r="BA5" s="82"/>
      <c r="BB5" s="82">
        <v>0</v>
      </c>
      <c r="BC5" s="79"/>
      <c r="BD5" s="82">
        <v>125020</v>
      </c>
      <c r="BE5" s="79"/>
      <c r="BF5" s="235">
        <v>83</v>
      </c>
      <c r="BG5" s="79"/>
      <c r="BH5" s="79"/>
      <c r="BI5" s="79"/>
      <c r="BJ5" s="79"/>
      <c r="BK5" s="79"/>
      <c r="BL5" s="79"/>
      <c r="BM5" s="315" t="s">
        <v>797</v>
      </c>
    </row>
    <row r="6" spans="1:65" ht="22.9" customHeight="1" x14ac:dyDescent="0.2">
      <c r="A6" s="257"/>
      <c r="B6" s="257"/>
      <c r="C6" s="257"/>
      <c r="D6" s="79">
        <v>221</v>
      </c>
      <c r="E6" s="79"/>
      <c r="F6" s="80" t="s">
        <v>69</v>
      </c>
      <c r="G6" s="79"/>
      <c r="H6" s="80" t="s">
        <v>53</v>
      </c>
      <c r="I6" s="79"/>
      <c r="J6" s="225" t="s">
        <v>800</v>
      </c>
      <c r="K6" s="79"/>
      <c r="L6" s="80" t="s">
        <v>64</v>
      </c>
      <c r="M6" s="79"/>
      <c r="N6" s="79" t="s">
        <v>55</v>
      </c>
      <c r="O6" s="79"/>
      <c r="P6" s="83">
        <v>40179</v>
      </c>
      <c r="Q6" s="56">
        <v>905</v>
      </c>
      <c r="R6" s="79" t="s">
        <v>517</v>
      </c>
      <c r="S6" s="79"/>
      <c r="T6" s="81">
        <v>0</v>
      </c>
      <c r="U6" s="79"/>
      <c r="V6" s="82">
        <v>76670.63</v>
      </c>
      <c r="W6" s="79"/>
      <c r="X6" s="79">
        <v>347</v>
      </c>
      <c r="Y6" s="79"/>
      <c r="Z6" s="82">
        <v>0</v>
      </c>
      <c r="AA6" s="79"/>
      <c r="AB6" s="82">
        <v>97044</v>
      </c>
      <c r="AC6" s="79"/>
      <c r="AD6" s="82">
        <v>92489</v>
      </c>
      <c r="AE6" s="79"/>
      <c r="AF6" s="79">
        <v>375</v>
      </c>
      <c r="AG6" s="79"/>
      <c r="AH6" s="82">
        <v>0</v>
      </c>
      <c r="AI6" s="79"/>
      <c r="AJ6" s="82">
        <v>92549</v>
      </c>
      <c r="AK6" s="82"/>
      <c r="AL6" s="79">
        <v>299</v>
      </c>
      <c r="AM6" s="82"/>
      <c r="AN6" s="82">
        <v>0</v>
      </c>
      <c r="AO6" s="79"/>
      <c r="AP6" s="82">
        <v>109760</v>
      </c>
      <c r="AQ6" s="79"/>
      <c r="AR6" s="79">
        <v>321</v>
      </c>
      <c r="AS6" s="56" t="s">
        <v>66</v>
      </c>
      <c r="AT6" s="56"/>
      <c r="AU6" s="56"/>
      <c r="AV6" s="82">
        <v>0</v>
      </c>
      <c r="AW6" s="79"/>
      <c r="AX6" s="82">
        <v>139570</v>
      </c>
      <c r="AY6" s="82"/>
      <c r="AZ6" s="79">
        <v>342</v>
      </c>
      <c r="BA6" s="82"/>
      <c r="BB6" s="82">
        <v>0</v>
      </c>
      <c r="BC6" s="79"/>
      <c r="BD6" s="82">
        <v>170421</v>
      </c>
      <c r="BE6" s="79"/>
      <c r="BF6" s="79">
        <v>369</v>
      </c>
      <c r="BG6" s="79"/>
      <c r="BH6" s="79"/>
      <c r="BI6" s="79"/>
      <c r="BJ6" s="79"/>
      <c r="BK6" s="79"/>
      <c r="BL6" s="79"/>
      <c r="BM6" s="315" t="s">
        <v>797</v>
      </c>
    </row>
    <row r="7" spans="1:65" ht="57" customHeight="1" x14ac:dyDescent="0.2">
      <c r="A7" s="257"/>
      <c r="B7" s="257"/>
      <c r="C7" s="257"/>
      <c r="D7" s="79">
        <v>221</v>
      </c>
      <c r="E7" s="79"/>
      <c r="F7" s="80" t="s">
        <v>70</v>
      </c>
      <c r="G7" s="79"/>
      <c r="H7" s="80" t="s">
        <v>53</v>
      </c>
      <c r="I7" s="79"/>
      <c r="J7" s="225" t="s">
        <v>801</v>
      </c>
      <c r="K7" s="79"/>
      <c r="L7" s="80" t="s">
        <v>71</v>
      </c>
      <c r="M7" s="79"/>
      <c r="N7" s="79" t="s">
        <v>55</v>
      </c>
      <c r="O7" s="79"/>
      <c r="P7" s="83">
        <v>40179</v>
      </c>
      <c r="Q7" s="56">
        <v>905</v>
      </c>
      <c r="R7" s="79" t="s">
        <v>72</v>
      </c>
      <c r="S7" s="79"/>
      <c r="T7" s="81">
        <v>0</v>
      </c>
      <c r="U7" s="79"/>
      <c r="V7" s="82">
        <v>627</v>
      </c>
      <c r="W7" s="79"/>
      <c r="X7" s="79" t="s">
        <v>632</v>
      </c>
      <c r="Y7" s="79"/>
      <c r="Z7" s="82">
        <v>0</v>
      </c>
      <c r="AA7" s="79"/>
      <c r="AB7" s="82">
        <v>500</v>
      </c>
      <c r="AC7" s="79"/>
      <c r="AD7" s="82">
        <v>482</v>
      </c>
      <c r="AE7" s="79"/>
      <c r="AF7" s="79">
        <v>40</v>
      </c>
      <c r="AG7" s="79"/>
      <c r="AH7" s="82">
        <v>0</v>
      </c>
      <c r="AI7" s="79"/>
      <c r="AJ7" s="82">
        <v>873</v>
      </c>
      <c r="AK7" s="82"/>
      <c r="AL7" s="79">
        <v>70</v>
      </c>
      <c r="AM7" s="82"/>
      <c r="AN7" s="82">
        <v>0</v>
      </c>
      <c r="AO7" s="79"/>
      <c r="AP7" s="82">
        <v>780</v>
      </c>
      <c r="AQ7" s="79"/>
      <c r="AR7" s="79">
        <v>61</v>
      </c>
      <c r="AS7" s="56" t="s">
        <v>66</v>
      </c>
      <c r="AT7" s="56"/>
      <c r="AU7" s="56"/>
      <c r="AV7" s="82">
        <v>0</v>
      </c>
      <c r="AW7" s="79"/>
      <c r="AX7" s="82">
        <v>841</v>
      </c>
      <c r="AY7" s="82"/>
      <c r="AZ7" s="79">
        <v>56</v>
      </c>
      <c r="BA7" s="82"/>
      <c r="BB7" s="82">
        <v>0</v>
      </c>
      <c r="BC7" s="79"/>
      <c r="BD7" s="82">
        <v>1611</v>
      </c>
      <c r="BE7" s="79"/>
      <c r="BF7" s="79">
        <v>117</v>
      </c>
      <c r="BG7" s="79"/>
      <c r="BH7" s="79"/>
      <c r="BI7" s="79"/>
      <c r="BJ7" s="79"/>
      <c r="BK7" s="79"/>
      <c r="BL7" s="79"/>
      <c r="BM7" s="315" t="s">
        <v>797</v>
      </c>
    </row>
    <row r="8" spans="1:65" ht="36" customHeight="1" x14ac:dyDescent="0.2">
      <c r="A8" s="257"/>
      <c r="B8" s="257"/>
      <c r="C8" s="257"/>
      <c r="D8" s="79">
        <v>221</v>
      </c>
      <c r="E8" s="79"/>
      <c r="F8" s="80" t="s">
        <v>73</v>
      </c>
      <c r="G8" s="79"/>
      <c r="H8" s="80" t="s">
        <v>53</v>
      </c>
      <c r="I8" s="79"/>
      <c r="J8" s="225" t="s">
        <v>802</v>
      </c>
      <c r="K8" s="79"/>
      <c r="L8" s="80" t="s">
        <v>74</v>
      </c>
      <c r="M8" s="79"/>
      <c r="N8" s="79" t="s">
        <v>55</v>
      </c>
      <c r="O8" s="79"/>
      <c r="P8" s="257" t="s">
        <v>76</v>
      </c>
      <c r="Q8" s="56" t="s">
        <v>77</v>
      </c>
      <c r="R8" s="79" t="s">
        <v>75</v>
      </c>
      <c r="S8" s="79"/>
      <c r="T8" s="81">
        <v>0</v>
      </c>
      <c r="U8" s="79"/>
      <c r="V8" s="82">
        <v>126381</v>
      </c>
      <c r="W8" s="79"/>
      <c r="X8" s="79">
        <v>749</v>
      </c>
      <c r="Y8" s="79"/>
      <c r="Z8" s="82">
        <v>0</v>
      </c>
      <c r="AA8" s="79"/>
      <c r="AB8" s="82">
        <v>168764</v>
      </c>
      <c r="AC8" s="79"/>
      <c r="AD8" s="82">
        <v>174451</v>
      </c>
      <c r="AE8" s="79"/>
      <c r="AF8" s="79">
        <v>782</v>
      </c>
      <c r="AG8" s="79"/>
      <c r="AH8" s="82">
        <v>0</v>
      </c>
      <c r="AI8" s="79"/>
      <c r="AJ8" s="82">
        <v>176752</v>
      </c>
      <c r="AK8" s="82"/>
      <c r="AL8" s="79" t="s">
        <v>751</v>
      </c>
      <c r="AM8" s="82"/>
      <c r="AN8" s="82">
        <v>0</v>
      </c>
      <c r="AO8" s="79"/>
      <c r="AP8" s="82">
        <v>227049</v>
      </c>
      <c r="AQ8" s="79"/>
      <c r="AR8" s="79">
        <v>581</v>
      </c>
      <c r="AS8" s="56" t="s">
        <v>78</v>
      </c>
      <c r="AT8" s="56"/>
      <c r="AU8" s="56"/>
      <c r="AV8" s="82">
        <v>0</v>
      </c>
      <c r="AW8" s="79"/>
      <c r="AX8" s="82">
        <v>206521</v>
      </c>
      <c r="AY8" s="82"/>
      <c r="AZ8" s="79">
        <v>576</v>
      </c>
      <c r="BA8" s="82"/>
      <c r="BB8" s="82">
        <v>0</v>
      </c>
      <c r="BC8" s="79"/>
      <c r="BD8" s="82">
        <v>195199</v>
      </c>
      <c r="BE8" s="79"/>
      <c r="BF8" s="79">
        <v>690</v>
      </c>
      <c r="BG8" s="79"/>
      <c r="BH8" s="79"/>
      <c r="BI8" s="79"/>
      <c r="BJ8" s="79"/>
      <c r="BK8" s="79"/>
      <c r="BL8" s="79"/>
      <c r="BM8" s="315" t="s">
        <v>797</v>
      </c>
    </row>
    <row r="9" spans="1:65" ht="36.6" customHeight="1" x14ac:dyDescent="0.2">
      <c r="A9" s="257"/>
      <c r="B9" s="257"/>
      <c r="C9" s="257"/>
      <c r="D9" s="79">
        <v>221</v>
      </c>
      <c r="E9" s="79"/>
      <c r="F9" s="80" t="s">
        <v>79</v>
      </c>
      <c r="G9" s="79"/>
      <c r="H9" s="80" t="s">
        <v>53</v>
      </c>
      <c r="I9" s="79"/>
      <c r="J9" s="225">
        <v>3</v>
      </c>
      <c r="K9" s="79"/>
      <c r="L9" s="80" t="s">
        <v>80</v>
      </c>
      <c r="M9" s="79"/>
      <c r="N9" s="79" t="s">
        <v>55</v>
      </c>
      <c r="O9" s="79"/>
      <c r="P9" s="257" t="s">
        <v>82</v>
      </c>
      <c r="Q9" s="56">
        <v>905</v>
      </c>
      <c r="R9" s="79" t="s">
        <v>81</v>
      </c>
      <c r="S9" s="79"/>
      <c r="T9" s="81">
        <v>0</v>
      </c>
      <c r="U9" s="79"/>
      <c r="V9" s="82">
        <v>13682.59</v>
      </c>
      <c r="W9" s="79"/>
      <c r="X9" s="79"/>
      <c r="Y9" s="79"/>
      <c r="Z9" s="82">
        <v>0</v>
      </c>
      <c r="AA9" s="79"/>
      <c r="AB9" s="82">
        <v>0</v>
      </c>
      <c r="AC9" s="79"/>
      <c r="AD9" s="82">
        <v>16357</v>
      </c>
      <c r="AE9" s="79"/>
      <c r="AF9" s="79">
        <v>410</v>
      </c>
      <c r="AG9" s="79"/>
      <c r="AH9" s="82">
        <v>0</v>
      </c>
      <c r="AI9" s="79"/>
      <c r="AJ9" s="82">
        <v>18476</v>
      </c>
      <c r="AK9" s="82"/>
      <c r="AL9" s="79">
        <v>373</v>
      </c>
      <c r="AM9" s="82"/>
      <c r="AN9" s="82">
        <v>0</v>
      </c>
      <c r="AO9" s="79"/>
      <c r="AP9" s="82">
        <v>19804</v>
      </c>
      <c r="AQ9" s="79"/>
      <c r="AR9" s="79">
        <v>373</v>
      </c>
      <c r="AS9" s="56" t="s">
        <v>84</v>
      </c>
      <c r="AT9" s="56"/>
      <c r="AU9" s="56"/>
      <c r="AV9" s="82">
        <v>0</v>
      </c>
      <c r="AW9" s="79"/>
      <c r="AX9" s="82">
        <v>15968</v>
      </c>
      <c r="AY9" s="82"/>
      <c r="AZ9" s="79">
        <v>357</v>
      </c>
      <c r="BA9" s="82"/>
      <c r="BB9" s="82">
        <v>0</v>
      </c>
      <c r="BC9" s="79"/>
      <c r="BD9" s="82">
        <v>14668</v>
      </c>
      <c r="BE9" s="79"/>
      <c r="BF9" s="79">
        <v>350</v>
      </c>
      <c r="BG9" s="79"/>
      <c r="BH9" s="79"/>
      <c r="BI9" s="79"/>
      <c r="BJ9" s="79"/>
      <c r="BK9" s="79"/>
      <c r="BL9" s="79"/>
      <c r="BM9" s="315" t="s">
        <v>797</v>
      </c>
    </row>
    <row r="10" spans="1:65" ht="33.75" x14ac:dyDescent="0.2">
      <c r="A10" s="257"/>
      <c r="B10" s="257" t="s">
        <v>85</v>
      </c>
      <c r="C10" s="257"/>
      <c r="D10" s="79">
        <v>222</v>
      </c>
      <c r="E10" s="79"/>
      <c r="F10" s="80" t="s">
        <v>86</v>
      </c>
      <c r="G10" s="79"/>
      <c r="H10" s="80" t="s">
        <v>87</v>
      </c>
      <c r="I10" s="79"/>
      <c r="J10" s="225">
        <v>300</v>
      </c>
      <c r="K10" s="79"/>
      <c r="L10" s="80" t="s">
        <v>88</v>
      </c>
      <c r="M10" s="79"/>
      <c r="N10" s="79" t="s">
        <v>55</v>
      </c>
      <c r="O10" s="79"/>
      <c r="P10" s="257"/>
      <c r="Q10" s="56">
        <v>905</v>
      </c>
      <c r="R10" s="79"/>
      <c r="S10" s="79"/>
      <c r="T10" s="81">
        <v>0</v>
      </c>
      <c r="U10" s="79"/>
      <c r="V10" s="82">
        <v>390000</v>
      </c>
      <c r="W10" s="79"/>
      <c r="X10" s="79">
        <v>1927</v>
      </c>
      <c r="Y10" s="79"/>
      <c r="Z10" s="82">
        <v>0</v>
      </c>
      <c r="AA10" s="79"/>
      <c r="AB10" s="82">
        <v>394663.95</v>
      </c>
      <c r="AC10" s="79"/>
      <c r="AD10" s="82">
        <v>396413</v>
      </c>
      <c r="AE10" s="79"/>
      <c r="AF10" s="79">
        <v>1916</v>
      </c>
      <c r="AG10" s="79"/>
      <c r="AH10" s="82">
        <v>0</v>
      </c>
      <c r="AI10" s="79"/>
      <c r="AJ10" s="82">
        <v>428377</v>
      </c>
      <c r="AK10" s="82"/>
      <c r="AL10" s="79">
        <v>2020</v>
      </c>
      <c r="AM10" s="82"/>
      <c r="AN10" s="82">
        <v>0</v>
      </c>
      <c r="AO10" s="79"/>
      <c r="AP10" s="82">
        <v>432116</v>
      </c>
      <c r="AQ10" s="79"/>
      <c r="AR10" s="79">
        <v>2102</v>
      </c>
      <c r="AS10" s="56" t="s">
        <v>89</v>
      </c>
      <c r="AT10" s="56"/>
      <c r="AU10" s="56" t="s">
        <v>58</v>
      </c>
      <c r="AV10" s="82">
        <v>0</v>
      </c>
      <c r="AW10" s="79"/>
      <c r="AX10" s="82">
        <v>392093</v>
      </c>
      <c r="AY10" s="82"/>
      <c r="AZ10" s="86">
        <v>1963</v>
      </c>
      <c r="BA10" s="82"/>
      <c r="BB10" s="82">
        <v>0</v>
      </c>
      <c r="BC10" s="79"/>
      <c r="BD10" s="82">
        <v>379701</v>
      </c>
      <c r="BE10" s="79"/>
      <c r="BF10" s="86">
        <v>1824</v>
      </c>
      <c r="BG10" s="86"/>
      <c r="BH10" s="86"/>
      <c r="BI10" s="86"/>
      <c r="BJ10" s="86"/>
      <c r="BK10" s="86"/>
      <c r="BL10" s="86"/>
      <c r="BM10" s="315" t="s">
        <v>782</v>
      </c>
    </row>
    <row r="11" spans="1:65" ht="45" x14ac:dyDescent="0.2">
      <c r="A11" s="257"/>
      <c r="B11" s="257"/>
      <c r="C11" s="257"/>
      <c r="D11" s="79">
        <v>222</v>
      </c>
      <c r="E11" s="79"/>
      <c r="F11" s="80" t="s">
        <v>90</v>
      </c>
      <c r="G11" s="79"/>
      <c r="H11" s="80" t="s">
        <v>91</v>
      </c>
      <c r="I11" s="79"/>
      <c r="J11" s="225" t="s">
        <v>92</v>
      </c>
      <c r="K11" s="79"/>
      <c r="L11" s="80" t="s">
        <v>93</v>
      </c>
      <c r="M11" s="79"/>
      <c r="N11" s="79" t="s">
        <v>55</v>
      </c>
      <c r="O11" s="79"/>
      <c r="P11" s="257">
        <v>2009</v>
      </c>
      <c r="Q11" s="56">
        <v>905</v>
      </c>
      <c r="R11" s="79"/>
      <c r="S11" s="79"/>
      <c r="T11" s="81">
        <v>0</v>
      </c>
      <c r="U11" s="79"/>
      <c r="V11" s="82">
        <v>973000</v>
      </c>
      <c r="W11" s="79"/>
      <c r="X11" s="79">
        <v>816</v>
      </c>
      <c r="Y11" s="79"/>
      <c r="Z11" s="82">
        <v>0</v>
      </c>
      <c r="AA11" s="79"/>
      <c r="AB11" s="82">
        <v>909678.54999999993</v>
      </c>
      <c r="AC11" s="79"/>
      <c r="AD11" s="82">
        <v>974607</v>
      </c>
      <c r="AE11" s="79"/>
      <c r="AF11" s="79">
        <v>628</v>
      </c>
      <c r="AG11" s="79"/>
      <c r="AH11" s="82">
        <v>0</v>
      </c>
      <c r="AI11" s="79"/>
      <c r="AJ11" s="82">
        <v>1001464</v>
      </c>
      <c r="AK11" s="82"/>
      <c r="AL11" s="79">
        <v>752</v>
      </c>
      <c r="AM11" s="82"/>
      <c r="AN11" s="82">
        <v>0</v>
      </c>
      <c r="AO11" s="79"/>
      <c r="AP11" s="82">
        <v>1070675</v>
      </c>
      <c r="AQ11" s="79"/>
      <c r="AR11" s="79">
        <v>822</v>
      </c>
      <c r="AS11" s="56" t="s">
        <v>94</v>
      </c>
      <c r="AT11" s="56"/>
      <c r="AU11" s="56" t="s">
        <v>95</v>
      </c>
      <c r="AV11" s="82">
        <v>0</v>
      </c>
      <c r="AW11" s="79"/>
      <c r="AX11" s="82">
        <v>1144088</v>
      </c>
      <c r="AY11" s="82"/>
      <c r="AZ11" s="79">
        <v>882</v>
      </c>
      <c r="BA11" s="82"/>
      <c r="BB11" s="82">
        <v>0</v>
      </c>
      <c r="BC11" s="79"/>
      <c r="BD11" s="82">
        <v>1262389</v>
      </c>
      <c r="BE11" s="79"/>
      <c r="BF11" s="79">
        <v>914</v>
      </c>
      <c r="BG11" s="79"/>
      <c r="BH11" s="79"/>
      <c r="BI11" s="79"/>
      <c r="BJ11" s="79"/>
      <c r="BK11" s="79"/>
      <c r="BL11" s="79"/>
      <c r="BM11" s="315" t="s">
        <v>797</v>
      </c>
    </row>
    <row r="12" spans="1:65" ht="33.75" x14ac:dyDescent="0.2">
      <c r="A12" s="257"/>
      <c r="B12" s="257"/>
      <c r="C12" s="257"/>
      <c r="D12" s="79">
        <v>222</v>
      </c>
      <c r="E12" s="79"/>
      <c r="F12" s="80" t="s">
        <v>96</v>
      </c>
      <c r="G12" s="79"/>
      <c r="H12" s="80" t="s">
        <v>97</v>
      </c>
      <c r="I12" s="79"/>
      <c r="J12" s="225">
        <v>175</v>
      </c>
      <c r="K12" s="79"/>
      <c r="L12" s="80" t="s">
        <v>98</v>
      </c>
      <c r="M12" s="79"/>
      <c r="N12" s="79" t="s">
        <v>55</v>
      </c>
      <c r="O12" s="79"/>
      <c r="P12" s="257"/>
      <c r="Q12" s="56">
        <v>905</v>
      </c>
      <c r="R12" s="79"/>
      <c r="S12" s="79"/>
      <c r="T12" s="81">
        <v>0</v>
      </c>
      <c r="U12" s="79"/>
      <c r="V12" s="82">
        <v>5089</v>
      </c>
      <c r="W12" s="79"/>
      <c r="X12" s="79">
        <v>24</v>
      </c>
      <c r="Y12" s="79"/>
      <c r="Z12" s="82">
        <v>0</v>
      </c>
      <c r="AA12" s="79"/>
      <c r="AB12" s="82">
        <v>5451.48</v>
      </c>
      <c r="AC12" s="79"/>
      <c r="AD12" s="82">
        <v>4470</v>
      </c>
      <c r="AE12" s="79"/>
      <c r="AF12" s="79">
        <v>24</v>
      </c>
      <c r="AG12" s="79"/>
      <c r="AH12" s="82">
        <v>0</v>
      </c>
      <c r="AI12" s="79"/>
      <c r="AJ12" s="82">
        <v>3736</v>
      </c>
      <c r="AK12" s="82"/>
      <c r="AL12" s="79">
        <v>21</v>
      </c>
      <c r="AM12" s="82"/>
      <c r="AN12" s="82">
        <v>0</v>
      </c>
      <c r="AO12" s="79"/>
      <c r="AP12" s="82">
        <v>6421</v>
      </c>
      <c r="AQ12" s="79"/>
      <c r="AR12" s="79">
        <v>37</v>
      </c>
      <c r="AS12" s="56" t="s">
        <v>99</v>
      </c>
      <c r="AT12" s="56"/>
      <c r="AU12" s="56"/>
      <c r="AV12" s="82">
        <v>0</v>
      </c>
      <c r="AW12" s="79"/>
      <c r="AX12" s="82">
        <v>9620</v>
      </c>
      <c r="AY12" s="82"/>
      <c r="AZ12" s="79">
        <v>44</v>
      </c>
      <c r="BA12" s="82"/>
      <c r="BB12" s="82">
        <v>0</v>
      </c>
      <c r="BC12" s="79"/>
      <c r="BD12" s="82">
        <v>10709</v>
      </c>
      <c r="BE12" s="79"/>
      <c r="BF12" s="79">
        <v>48</v>
      </c>
      <c r="BG12" s="79"/>
      <c r="BH12" s="79"/>
      <c r="BI12" s="79"/>
      <c r="BJ12" s="79"/>
      <c r="BK12" s="79"/>
      <c r="BL12" s="79"/>
      <c r="BM12" s="315" t="s">
        <v>797</v>
      </c>
    </row>
    <row r="13" spans="1:65" ht="33.75" x14ac:dyDescent="0.2">
      <c r="A13" s="257"/>
      <c r="B13" s="257"/>
      <c r="C13" s="257"/>
      <c r="D13" s="79">
        <v>222</v>
      </c>
      <c r="E13" s="79"/>
      <c r="F13" s="80" t="s">
        <v>100</v>
      </c>
      <c r="G13" s="79"/>
      <c r="H13" s="80" t="s">
        <v>97</v>
      </c>
      <c r="I13" s="79"/>
      <c r="J13" s="225">
        <v>300</v>
      </c>
      <c r="K13" s="79"/>
      <c r="L13" s="80" t="s">
        <v>98</v>
      </c>
      <c r="M13" s="79"/>
      <c r="N13" s="79" t="s">
        <v>55</v>
      </c>
      <c r="O13" s="79"/>
      <c r="P13" s="257"/>
      <c r="Q13" s="56">
        <v>905</v>
      </c>
      <c r="R13" s="79"/>
      <c r="S13" s="79"/>
      <c r="T13" s="81">
        <v>0</v>
      </c>
      <c r="U13" s="79"/>
      <c r="V13" s="82">
        <v>7709</v>
      </c>
      <c r="W13" s="79"/>
      <c r="X13" s="79">
        <v>39</v>
      </c>
      <c r="Y13" s="79"/>
      <c r="Z13" s="82">
        <v>0</v>
      </c>
      <c r="AA13" s="79"/>
      <c r="AB13" s="82">
        <v>8710.65</v>
      </c>
      <c r="AC13" s="79"/>
      <c r="AD13" s="82">
        <v>7128</v>
      </c>
      <c r="AE13" s="79"/>
      <c r="AF13" s="79">
        <v>31</v>
      </c>
      <c r="AG13" s="79"/>
      <c r="AH13" s="82">
        <v>0</v>
      </c>
      <c r="AI13" s="79"/>
      <c r="AJ13" s="82">
        <v>7917</v>
      </c>
      <c r="AK13" s="82"/>
      <c r="AL13" s="79">
        <v>37</v>
      </c>
      <c r="AM13" s="82"/>
      <c r="AN13" s="82">
        <v>0</v>
      </c>
      <c r="AO13" s="79"/>
      <c r="AP13" s="82">
        <v>11215</v>
      </c>
      <c r="AQ13" s="79"/>
      <c r="AR13" s="79">
        <v>53</v>
      </c>
      <c r="AS13" s="56" t="s">
        <v>101</v>
      </c>
      <c r="AT13" s="56"/>
      <c r="AU13" s="56"/>
      <c r="AV13" s="82">
        <v>0</v>
      </c>
      <c r="AW13" s="79"/>
      <c r="AX13" s="82">
        <v>12083</v>
      </c>
      <c r="AY13" s="82"/>
      <c r="AZ13" s="79">
        <v>52</v>
      </c>
      <c r="BA13" s="82"/>
      <c r="BB13" s="82">
        <v>0</v>
      </c>
      <c r="BC13" s="79"/>
      <c r="BD13" s="82">
        <v>9788</v>
      </c>
      <c r="BE13" s="79"/>
      <c r="BF13" s="79">
        <v>50</v>
      </c>
      <c r="BG13" s="79"/>
      <c r="BH13" s="79"/>
      <c r="BI13" s="79"/>
      <c r="BJ13" s="79"/>
      <c r="BK13" s="79"/>
      <c r="BL13" s="79"/>
      <c r="BM13" s="315" t="s">
        <v>797</v>
      </c>
    </row>
    <row r="14" spans="1:65" ht="45" x14ac:dyDescent="0.2">
      <c r="A14" s="257"/>
      <c r="B14" s="257"/>
      <c r="C14" s="257"/>
      <c r="D14" s="79">
        <v>222</v>
      </c>
      <c r="E14" s="79"/>
      <c r="F14" s="80" t="s">
        <v>633</v>
      </c>
      <c r="G14" s="79"/>
      <c r="H14" s="80" t="s">
        <v>634</v>
      </c>
      <c r="I14" s="79"/>
      <c r="J14" s="225">
        <v>550</v>
      </c>
      <c r="K14" s="79"/>
      <c r="L14" s="84" t="s">
        <v>635</v>
      </c>
      <c r="M14" s="79"/>
      <c r="N14" s="79" t="s">
        <v>55</v>
      </c>
      <c r="O14" s="79"/>
      <c r="P14" s="257">
        <v>2011</v>
      </c>
      <c r="Q14" s="56">
        <v>905</v>
      </c>
      <c r="R14" s="79"/>
      <c r="S14" s="79"/>
      <c r="T14" s="81">
        <v>0</v>
      </c>
      <c r="U14" s="79"/>
      <c r="V14" s="82">
        <v>46420</v>
      </c>
      <c r="W14" s="79"/>
      <c r="X14" s="79">
        <v>487</v>
      </c>
      <c r="Y14" s="79"/>
      <c r="Z14" s="82">
        <v>0</v>
      </c>
      <c r="AA14" s="79"/>
      <c r="AB14" s="82">
        <v>130881.63</v>
      </c>
      <c r="AC14" s="79"/>
      <c r="AD14" s="82">
        <v>119795</v>
      </c>
      <c r="AE14" s="79"/>
      <c r="AF14" s="79">
        <v>475</v>
      </c>
      <c r="AG14" s="79"/>
      <c r="AH14" s="82">
        <v>0</v>
      </c>
      <c r="AI14" s="79"/>
      <c r="AJ14" s="82">
        <v>111448</v>
      </c>
      <c r="AK14" s="82"/>
      <c r="AL14" s="79">
        <v>430</v>
      </c>
      <c r="AM14" s="82"/>
      <c r="AN14" s="82">
        <v>0</v>
      </c>
      <c r="AO14" s="79"/>
      <c r="AP14" s="82">
        <v>96046</v>
      </c>
      <c r="AQ14" s="79"/>
      <c r="AR14" s="79">
        <v>393</v>
      </c>
      <c r="AS14" s="56" t="s">
        <v>636</v>
      </c>
      <c r="AT14" s="56"/>
      <c r="AU14" s="56" t="s">
        <v>102</v>
      </c>
      <c r="AV14" s="82">
        <v>0</v>
      </c>
      <c r="AW14" s="79"/>
      <c r="AX14" s="82">
        <v>89480</v>
      </c>
      <c r="AY14" s="82"/>
      <c r="AZ14" s="79">
        <v>430</v>
      </c>
      <c r="BA14" s="82"/>
      <c r="BB14" s="82">
        <v>0</v>
      </c>
      <c r="BC14" s="79"/>
      <c r="BD14" s="82">
        <v>111035</v>
      </c>
      <c r="BE14" s="79"/>
      <c r="BF14" s="79">
        <v>435</v>
      </c>
      <c r="BG14" s="79"/>
      <c r="BH14" s="79"/>
      <c r="BI14" s="79"/>
      <c r="BJ14" s="79"/>
      <c r="BK14" s="79"/>
      <c r="BL14" s="79"/>
      <c r="BM14" s="315" t="s">
        <v>797</v>
      </c>
    </row>
    <row r="15" spans="1:65" ht="22.5" x14ac:dyDescent="0.2">
      <c r="A15" s="257"/>
      <c r="B15" s="257"/>
      <c r="C15" s="257"/>
      <c r="D15" s="79">
        <v>222</v>
      </c>
      <c r="E15" s="79"/>
      <c r="F15" s="80" t="s">
        <v>103</v>
      </c>
      <c r="G15" s="79"/>
      <c r="H15" s="80" t="s">
        <v>97</v>
      </c>
      <c r="I15" s="79"/>
      <c r="J15" s="225">
        <v>100</v>
      </c>
      <c r="K15" s="79"/>
      <c r="L15" s="84" t="s">
        <v>98</v>
      </c>
      <c r="M15" s="79"/>
      <c r="N15" s="79" t="s">
        <v>55</v>
      </c>
      <c r="O15" s="79"/>
      <c r="P15" s="257"/>
      <c r="Q15" s="56">
        <v>905</v>
      </c>
      <c r="R15" s="79"/>
      <c r="S15" s="79"/>
      <c r="T15" s="81">
        <v>0</v>
      </c>
      <c r="U15" s="79"/>
      <c r="V15" s="82">
        <v>600</v>
      </c>
      <c r="W15" s="79"/>
      <c r="X15" s="79">
        <v>7</v>
      </c>
      <c r="Y15" s="79"/>
      <c r="Z15" s="82">
        <v>0</v>
      </c>
      <c r="AA15" s="79"/>
      <c r="AB15" s="82">
        <v>692</v>
      </c>
      <c r="AC15" s="79"/>
      <c r="AD15" s="82">
        <v>220</v>
      </c>
      <c r="AE15" s="79"/>
      <c r="AF15" s="79">
        <v>3</v>
      </c>
      <c r="AG15" s="79"/>
      <c r="AH15" s="82">
        <v>0</v>
      </c>
      <c r="AI15" s="79"/>
      <c r="AJ15" s="82">
        <v>100</v>
      </c>
      <c r="AK15" s="82"/>
      <c r="AL15" s="79">
        <v>2</v>
      </c>
      <c r="AM15" s="82"/>
      <c r="AN15" s="82">
        <v>0</v>
      </c>
      <c r="AO15" s="79"/>
      <c r="AP15" s="82">
        <v>100</v>
      </c>
      <c r="AQ15" s="79"/>
      <c r="AR15" s="79">
        <v>2</v>
      </c>
      <c r="AS15" s="56" t="s">
        <v>104</v>
      </c>
      <c r="AT15" s="56"/>
      <c r="AU15" s="56"/>
      <c r="AV15" s="82">
        <v>0</v>
      </c>
      <c r="AW15" s="79"/>
      <c r="AX15" s="82">
        <v>491</v>
      </c>
      <c r="AY15" s="82"/>
      <c r="AZ15" s="79">
        <v>6</v>
      </c>
      <c r="BA15" s="82"/>
      <c r="BB15" s="82">
        <v>0</v>
      </c>
      <c r="BC15" s="79"/>
      <c r="BD15" s="82">
        <v>2253</v>
      </c>
      <c r="BE15" s="79"/>
      <c r="BF15" s="79">
        <v>16</v>
      </c>
      <c r="BG15" s="327"/>
      <c r="BH15" s="327"/>
      <c r="BI15" s="327"/>
      <c r="BJ15" s="327"/>
      <c r="BK15" s="327"/>
      <c r="BL15" s="327"/>
      <c r="BM15" s="155" t="s">
        <v>797</v>
      </c>
    </row>
    <row r="16" spans="1:65" ht="33.75" x14ac:dyDescent="0.2">
      <c r="A16" s="257"/>
      <c r="B16" s="257"/>
      <c r="C16" s="257"/>
      <c r="D16" s="79">
        <v>222</v>
      </c>
      <c r="E16" s="79"/>
      <c r="F16" s="80" t="s">
        <v>105</v>
      </c>
      <c r="G16" s="79"/>
      <c r="H16" s="80" t="s">
        <v>97</v>
      </c>
      <c r="I16" s="79"/>
      <c r="J16" s="225">
        <v>20</v>
      </c>
      <c r="K16" s="79"/>
      <c r="L16" s="84" t="s">
        <v>637</v>
      </c>
      <c r="M16" s="79"/>
      <c r="N16" s="79" t="s">
        <v>55</v>
      </c>
      <c r="O16" s="79"/>
      <c r="P16" s="257"/>
      <c r="Q16" s="56">
        <v>905</v>
      </c>
      <c r="R16" s="79"/>
      <c r="S16" s="79"/>
      <c r="T16" s="81">
        <v>0</v>
      </c>
      <c r="U16" s="79"/>
      <c r="V16" s="82">
        <v>46708</v>
      </c>
      <c r="W16" s="79"/>
      <c r="X16" s="79">
        <v>127</v>
      </c>
      <c r="Y16" s="79"/>
      <c r="Z16" s="82">
        <v>0</v>
      </c>
      <c r="AA16" s="79"/>
      <c r="AB16" s="82">
        <v>39652.58</v>
      </c>
      <c r="AC16" s="79"/>
      <c r="AD16" s="82">
        <v>34052</v>
      </c>
      <c r="AE16" s="79"/>
      <c r="AF16" s="79">
        <v>120</v>
      </c>
      <c r="AG16" s="79"/>
      <c r="AH16" s="82">
        <v>0</v>
      </c>
      <c r="AI16" s="79"/>
      <c r="AJ16" s="82">
        <v>33981</v>
      </c>
      <c r="AK16" s="82"/>
      <c r="AL16" s="79">
        <v>119</v>
      </c>
      <c r="AM16" s="82"/>
      <c r="AN16" s="82">
        <v>0</v>
      </c>
      <c r="AO16" s="79"/>
      <c r="AP16" s="82">
        <v>43283</v>
      </c>
      <c r="AQ16" s="79"/>
      <c r="AR16" s="79">
        <v>136</v>
      </c>
      <c r="AS16" s="56" t="s">
        <v>106</v>
      </c>
      <c r="AT16" s="56"/>
      <c r="AU16" s="56"/>
      <c r="AV16" s="82">
        <v>0</v>
      </c>
      <c r="AW16" s="79"/>
      <c r="AX16" s="82">
        <v>47181</v>
      </c>
      <c r="AY16" s="82"/>
      <c r="AZ16" s="79">
        <v>155</v>
      </c>
      <c r="BA16" s="82"/>
      <c r="BB16" s="82">
        <v>0</v>
      </c>
      <c r="BC16" s="79"/>
      <c r="BD16" s="82">
        <v>49464</v>
      </c>
      <c r="BE16" s="79"/>
      <c r="BF16" s="79">
        <v>156</v>
      </c>
      <c r="BG16" s="79"/>
      <c r="BH16" s="79"/>
      <c r="BI16" s="79"/>
      <c r="BJ16" s="79"/>
      <c r="BK16" s="79"/>
      <c r="BL16" s="79"/>
      <c r="BM16" s="315" t="s">
        <v>797</v>
      </c>
    </row>
    <row r="17" spans="1:65" ht="33.75" x14ac:dyDescent="0.2">
      <c r="A17" s="257"/>
      <c r="B17" s="257"/>
      <c r="C17" s="257"/>
      <c r="D17" s="79">
        <v>222</v>
      </c>
      <c r="E17" s="79"/>
      <c r="F17" s="80" t="s">
        <v>638</v>
      </c>
      <c r="G17" s="79"/>
      <c r="H17" s="80" t="s">
        <v>639</v>
      </c>
      <c r="I17" s="79"/>
      <c r="J17" s="225">
        <v>20</v>
      </c>
      <c r="K17" s="79"/>
      <c r="L17" s="84" t="s">
        <v>640</v>
      </c>
      <c r="M17" s="79"/>
      <c r="N17" s="79" t="s">
        <v>55</v>
      </c>
      <c r="O17" s="79"/>
      <c r="P17" s="257"/>
      <c r="Q17" s="56">
        <v>905</v>
      </c>
      <c r="R17" s="79"/>
      <c r="S17" s="79"/>
      <c r="T17" s="81">
        <v>0</v>
      </c>
      <c r="U17" s="79"/>
      <c r="V17" s="82"/>
      <c r="W17" s="79"/>
      <c r="X17" s="79">
        <v>8</v>
      </c>
      <c r="Y17" s="79"/>
      <c r="Z17" s="82">
        <v>0</v>
      </c>
      <c r="AA17" s="79"/>
      <c r="AB17" s="82">
        <v>1211.42</v>
      </c>
      <c r="AC17" s="79"/>
      <c r="AD17" s="82">
        <v>1299</v>
      </c>
      <c r="AE17" s="79"/>
      <c r="AF17" s="79">
        <v>5</v>
      </c>
      <c r="AG17" s="79"/>
      <c r="AH17" s="82">
        <v>0</v>
      </c>
      <c r="AI17" s="79"/>
      <c r="AJ17" s="82">
        <v>0</v>
      </c>
      <c r="AK17" s="82"/>
      <c r="AL17" s="79">
        <v>0</v>
      </c>
      <c r="AM17" s="82"/>
      <c r="AN17" s="82">
        <v>0</v>
      </c>
      <c r="AO17" s="79"/>
      <c r="AP17" s="82">
        <v>230</v>
      </c>
      <c r="AQ17" s="79"/>
      <c r="AR17" s="79">
        <v>4</v>
      </c>
      <c r="AS17" s="56" t="s">
        <v>641</v>
      </c>
      <c r="AT17" s="56"/>
      <c r="AU17" s="56"/>
      <c r="AV17" s="82">
        <v>0</v>
      </c>
      <c r="AW17" s="79"/>
      <c r="AX17" s="82">
        <v>0</v>
      </c>
      <c r="AY17" s="82"/>
      <c r="AZ17" s="79">
        <v>0</v>
      </c>
      <c r="BA17" s="82"/>
      <c r="BB17" s="82">
        <v>0</v>
      </c>
      <c r="BC17" s="79"/>
      <c r="BD17" s="82">
        <v>44</v>
      </c>
      <c r="BE17" s="79"/>
      <c r="BF17" s="79">
        <v>3</v>
      </c>
      <c r="BG17" s="79"/>
      <c r="BH17" s="79"/>
      <c r="BI17" s="79"/>
      <c r="BJ17" s="79"/>
      <c r="BK17" s="79"/>
      <c r="BL17" s="79"/>
      <c r="BM17" s="265" t="s">
        <v>797</v>
      </c>
    </row>
    <row r="18" spans="1:65" ht="45" x14ac:dyDescent="0.2">
      <c r="A18" s="257"/>
      <c r="B18" s="257"/>
      <c r="C18" s="257"/>
      <c r="D18" s="79">
        <v>222</v>
      </c>
      <c r="E18" s="79"/>
      <c r="F18" s="80" t="s">
        <v>642</v>
      </c>
      <c r="G18" s="79"/>
      <c r="H18" s="80" t="s">
        <v>97</v>
      </c>
      <c r="I18" s="79"/>
      <c r="J18" s="225">
        <v>50</v>
      </c>
      <c r="K18" s="79"/>
      <c r="L18" s="84" t="s">
        <v>88</v>
      </c>
      <c r="M18" s="79"/>
      <c r="N18" s="79" t="s">
        <v>55</v>
      </c>
      <c r="O18" s="79"/>
      <c r="P18" s="257">
        <v>2011</v>
      </c>
      <c r="Q18" s="56">
        <v>905</v>
      </c>
      <c r="R18" s="79"/>
      <c r="S18" s="79"/>
      <c r="T18" s="81">
        <v>0</v>
      </c>
      <c r="U18" s="79"/>
      <c r="V18" s="82"/>
      <c r="W18" s="79"/>
      <c r="X18" s="79">
        <v>1</v>
      </c>
      <c r="Y18" s="79"/>
      <c r="Z18" s="82">
        <v>0</v>
      </c>
      <c r="AA18" s="79"/>
      <c r="AB18" s="82">
        <v>50</v>
      </c>
      <c r="AC18" s="79"/>
      <c r="AD18" s="82">
        <v>710</v>
      </c>
      <c r="AE18" s="79"/>
      <c r="AF18" s="79">
        <v>15</v>
      </c>
      <c r="AG18" s="79"/>
      <c r="AH18" s="82">
        <v>0</v>
      </c>
      <c r="AI18" s="79"/>
      <c r="AJ18" s="82">
        <v>650</v>
      </c>
      <c r="AK18" s="82"/>
      <c r="AL18" s="79">
        <v>13</v>
      </c>
      <c r="AM18" s="82"/>
      <c r="AN18" s="82">
        <v>0</v>
      </c>
      <c r="AO18" s="79"/>
      <c r="AP18" s="82">
        <v>1025</v>
      </c>
      <c r="AQ18" s="79"/>
      <c r="AR18" s="79">
        <v>21</v>
      </c>
      <c r="AS18" s="56" t="s">
        <v>643</v>
      </c>
      <c r="AT18" s="56"/>
      <c r="AU18" s="56" t="s">
        <v>644</v>
      </c>
      <c r="AV18" s="82">
        <v>0</v>
      </c>
      <c r="AW18" s="79"/>
      <c r="AX18" s="82">
        <v>436</v>
      </c>
      <c r="AY18" s="82"/>
      <c r="AZ18" s="79">
        <v>13</v>
      </c>
      <c r="BA18" s="82"/>
      <c r="BB18" s="82">
        <v>0</v>
      </c>
      <c r="BC18" s="79"/>
      <c r="BD18" s="82">
        <v>540</v>
      </c>
      <c r="BE18" s="79"/>
      <c r="BF18" s="79">
        <v>15</v>
      </c>
      <c r="BG18" s="79"/>
      <c r="BH18" s="79"/>
      <c r="BI18" s="79"/>
      <c r="BJ18" s="79"/>
      <c r="BK18" s="79"/>
      <c r="BL18" s="79"/>
      <c r="BM18" s="265" t="s">
        <v>797</v>
      </c>
    </row>
    <row r="19" spans="1:65" ht="45" x14ac:dyDescent="0.2">
      <c r="A19" s="257"/>
      <c r="B19" s="257"/>
      <c r="C19" s="257"/>
      <c r="D19" s="79"/>
      <c r="E19" s="79"/>
      <c r="F19" s="80" t="s">
        <v>803</v>
      </c>
      <c r="G19" s="79"/>
      <c r="H19" s="80" t="s">
        <v>804</v>
      </c>
      <c r="I19" s="79"/>
      <c r="J19" s="225" t="s">
        <v>805</v>
      </c>
      <c r="K19" s="79"/>
      <c r="L19" s="84" t="s">
        <v>88</v>
      </c>
      <c r="M19" s="79"/>
      <c r="N19" s="79" t="s">
        <v>55</v>
      </c>
      <c r="O19" s="79"/>
      <c r="P19" s="257">
        <v>2011</v>
      </c>
      <c r="Q19" s="56">
        <v>905</v>
      </c>
      <c r="R19" s="79"/>
      <c r="S19" s="79"/>
      <c r="T19" s="81">
        <v>0</v>
      </c>
      <c r="U19" s="79"/>
      <c r="V19" s="82"/>
      <c r="W19" s="79"/>
      <c r="X19" s="79">
        <v>1</v>
      </c>
      <c r="Y19" s="79"/>
      <c r="Z19" s="82">
        <v>0</v>
      </c>
      <c r="AA19" s="79"/>
      <c r="AB19" s="82">
        <v>50</v>
      </c>
      <c r="AC19" s="79"/>
      <c r="AD19" s="82" t="s">
        <v>360</v>
      </c>
      <c r="AE19" s="79"/>
      <c r="AF19" s="79" t="s">
        <v>360</v>
      </c>
      <c r="AG19" s="79"/>
      <c r="AH19" s="82" t="s">
        <v>360</v>
      </c>
      <c r="AI19" s="79"/>
      <c r="AJ19" s="82" t="s">
        <v>360</v>
      </c>
      <c r="AK19" s="82"/>
      <c r="AL19" s="79" t="s">
        <v>360</v>
      </c>
      <c r="AM19" s="82"/>
      <c r="AN19" s="82" t="s">
        <v>360</v>
      </c>
      <c r="AO19" s="79"/>
      <c r="AP19" s="82" t="s">
        <v>360</v>
      </c>
      <c r="AQ19" s="79"/>
      <c r="AR19" s="79" t="s">
        <v>360</v>
      </c>
      <c r="AS19" s="56"/>
      <c r="AT19" s="56"/>
      <c r="AU19" s="56"/>
      <c r="AV19" s="82">
        <v>0</v>
      </c>
      <c r="AW19" s="79"/>
      <c r="AX19" s="82">
        <v>7050</v>
      </c>
      <c r="AY19" s="82"/>
      <c r="AZ19" s="79">
        <v>29</v>
      </c>
      <c r="BA19" s="82"/>
      <c r="BB19" s="82">
        <v>0</v>
      </c>
      <c r="BC19" s="79"/>
      <c r="BD19" s="82">
        <v>8800</v>
      </c>
      <c r="BE19" s="79"/>
      <c r="BF19" s="79">
        <v>25</v>
      </c>
      <c r="BG19" s="79"/>
      <c r="BH19" s="79"/>
      <c r="BI19" s="79"/>
      <c r="BJ19" s="79"/>
      <c r="BK19" s="79"/>
      <c r="BL19" s="79"/>
      <c r="BM19" s="265" t="s">
        <v>797</v>
      </c>
    </row>
    <row r="20" spans="1:65" ht="45" x14ac:dyDescent="0.2">
      <c r="A20" s="257"/>
      <c r="B20" s="257"/>
      <c r="C20" s="257"/>
      <c r="D20" s="79">
        <v>222</v>
      </c>
      <c r="E20" s="79"/>
      <c r="F20" s="80" t="s">
        <v>645</v>
      </c>
      <c r="G20" s="79"/>
      <c r="H20" s="80" t="s">
        <v>646</v>
      </c>
      <c r="I20" s="79"/>
      <c r="J20" s="225">
        <v>30</v>
      </c>
      <c r="K20" s="79"/>
      <c r="L20" s="84" t="s">
        <v>98</v>
      </c>
      <c r="M20" s="79"/>
      <c r="N20" s="79" t="s">
        <v>55</v>
      </c>
      <c r="O20" s="79"/>
      <c r="P20" s="257">
        <v>2011</v>
      </c>
      <c r="Q20" s="56">
        <v>905</v>
      </c>
      <c r="R20" s="79"/>
      <c r="S20" s="79"/>
      <c r="T20" s="81">
        <v>0</v>
      </c>
      <c r="U20" s="79"/>
      <c r="V20" s="82"/>
      <c r="W20" s="79"/>
      <c r="X20" s="79">
        <v>4</v>
      </c>
      <c r="Y20" s="79"/>
      <c r="Z20" s="82">
        <v>0</v>
      </c>
      <c r="AA20" s="79"/>
      <c r="AB20" s="82">
        <v>120</v>
      </c>
      <c r="AC20" s="79"/>
      <c r="AD20" s="82">
        <v>445</v>
      </c>
      <c r="AE20" s="79"/>
      <c r="AF20" s="79">
        <v>15</v>
      </c>
      <c r="AG20" s="79"/>
      <c r="AH20" s="82">
        <v>0</v>
      </c>
      <c r="AI20" s="79"/>
      <c r="AJ20" s="82">
        <v>365</v>
      </c>
      <c r="AK20" s="82"/>
      <c r="AL20" s="79">
        <v>12</v>
      </c>
      <c r="AM20" s="82"/>
      <c r="AN20" s="82">
        <v>0</v>
      </c>
      <c r="AO20" s="79"/>
      <c r="AP20" s="82">
        <v>295</v>
      </c>
      <c r="AQ20" s="79"/>
      <c r="AR20" s="79">
        <v>10</v>
      </c>
      <c r="AS20" s="56" t="s">
        <v>647</v>
      </c>
      <c r="AT20" s="56"/>
      <c r="AU20" s="56" t="s">
        <v>648</v>
      </c>
      <c r="AV20" s="82">
        <v>0</v>
      </c>
      <c r="AW20" s="79"/>
      <c r="AX20" s="82">
        <v>250</v>
      </c>
      <c r="AY20" s="82"/>
      <c r="AZ20" s="79">
        <v>10</v>
      </c>
      <c r="BA20" s="82"/>
      <c r="BB20" s="82">
        <v>0</v>
      </c>
      <c r="BC20" s="79"/>
      <c r="BD20" s="82">
        <v>1387</v>
      </c>
      <c r="BE20" s="79"/>
      <c r="BF20" s="79">
        <v>39</v>
      </c>
      <c r="BG20" s="79"/>
      <c r="BH20" s="79"/>
      <c r="BI20" s="79"/>
      <c r="BJ20" s="79"/>
      <c r="BK20" s="79"/>
      <c r="BL20" s="79"/>
      <c r="BM20" s="265" t="s">
        <v>797</v>
      </c>
    </row>
    <row r="21" spans="1:65" ht="33.75" x14ac:dyDescent="0.2">
      <c r="A21" s="257"/>
      <c r="B21" s="257"/>
      <c r="C21" s="257"/>
      <c r="D21" s="79">
        <v>222</v>
      </c>
      <c r="E21" s="79"/>
      <c r="F21" s="80" t="s">
        <v>107</v>
      </c>
      <c r="G21" s="79"/>
      <c r="H21" s="80" t="s">
        <v>91</v>
      </c>
      <c r="I21" s="79"/>
      <c r="J21" s="225">
        <v>25</v>
      </c>
      <c r="K21" s="79"/>
      <c r="L21" s="84" t="s">
        <v>88</v>
      </c>
      <c r="M21" s="79"/>
      <c r="N21" s="79" t="s">
        <v>55</v>
      </c>
      <c r="O21" s="79"/>
      <c r="P21" s="257">
        <v>2009</v>
      </c>
      <c r="Q21" s="56">
        <v>905</v>
      </c>
      <c r="R21" s="79"/>
      <c r="S21" s="79"/>
      <c r="T21" s="81">
        <v>0</v>
      </c>
      <c r="U21" s="79"/>
      <c r="V21" s="82">
        <v>6780</v>
      </c>
      <c r="W21" s="79"/>
      <c r="X21" s="79" t="s">
        <v>649</v>
      </c>
      <c r="Y21" s="79"/>
      <c r="Z21" s="82">
        <v>0</v>
      </c>
      <c r="AA21" s="79"/>
      <c r="AB21" s="82">
        <v>6435.9</v>
      </c>
      <c r="AC21" s="79"/>
      <c r="AD21" s="82">
        <v>6440</v>
      </c>
      <c r="AE21" s="79"/>
      <c r="AF21" s="79">
        <v>559</v>
      </c>
      <c r="AG21" s="79"/>
      <c r="AH21" s="82">
        <v>0</v>
      </c>
      <c r="AI21" s="79"/>
      <c r="AJ21" s="82">
        <v>7247</v>
      </c>
      <c r="AK21" s="82"/>
      <c r="AL21" s="79">
        <v>488</v>
      </c>
      <c r="AM21" s="82"/>
      <c r="AN21" s="82">
        <v>0</v>
      </c>
      <c r="AO21" s="79"/>
      <c r="AP21" s="82">
        <v>12306</v>
      </c>
      <c r="AQ21" s="79"/>
      <c r="AR21" s="79">
        <v>589</v>
      </c>
      <c r="AS21" s="56" t="s">
        <v>108</v>
      </c>
      <c r="AT21" s="56"/>
      <c r="AU21" s="226" t="s">
        <v>752</v>
      </c>
      <c r="AV21" s="82">
        <v>0</v>
      </c>
      <c r="AW21" s="79"/>
      <c r="AX21" s="82">
        <v>12263</v>
      </c>
      <c r="AY21" s="82"/>
      <c r="AZ21" s="79">
        <v>563</v>
      </c>
      <c r="BA21" s="82"/>
      <c r="BB21" s="82">
        <v>0</v>
      </c>
      <c r="BC21" s="79"/>
      <c r="BD21" s="82">
        <v>13834</v>
      </c>
      <c r="BE21" s="79"/>
      <c r="BF21" s="79">
        <v>598</v>
      </c>
      <c r="BG21" s="79"/>
      <c r="BH21" s="79"/>
      <c r="BI21" s="79"/>
      <c r="BJ21" s="79"/>
      <c r="BK21" s="79"/>
      <c r="BL21" s="79"/>
      <c r="BM21" s="265" t="s">
        <v>797</v>
      </c>
    </row>
    <row r="22" spans="1:65" x14ac:dyDescent="0.2">
      <c r="A22" s="257"/>
      <c r="B22" s="257" t="s">
        <v>109</v>
      </c>
      <c r="C22" s="257"/>
      <c r="D22" s="79">
        <v>223</v>
      </c>
      <c r="E22" s="79"/>
      <c r="F22" s="80" t="s">
        <v>110</v>
      </c>
      <c r="G22" s="79"/>
      <c r="H22" s="80" t="s">
        <v>111</v>
      </c>
      <c r="I22" s="79"/>
      <c r="J22" s="225">
        <v>200</v>
      </c>
      <c r="K22" s="79"/>
      <c r="L22" s="84" t="s">
        <v>112</v>
      </c>
      <c r="M22" s="79"/>
      <c r="N22" s="79" t="s">
        <v>55</v>
      </c>
      <c r="O22" s="79"/>
      <c r="P22" s="257"/>
      <c r="Q22" s="56">
        <v>905</v>
      </c>
      <c r="R22" s="79">
        <v>10</v>
      </c>
      <c r="S22" s="79"/>
      <c r="T22" s="81">
        <v>0</v>
      </c>
      <c r="U22" s="79"/>
      <c r="V22" s="82">
        <v>1200</v>
      </c>
      <c r="W22" s="79"/>
      <c r="X22" s="79">
        <v>16</v>
      </c>
      <c r="Y22" s="79"/>
      <c r="Z22" s="82">
        <v>0</v>
      </c>
      <c r="AA22" s="79"/>
      <c r="AB22" s="82">
        <v>850</v>
      </c>
      <c r="AC22" s="79"/>
      <c r="AD22" s="82">
        <v>1630</v>
      </c>
      <c r="AE22" s="79"/>
      <c r="AF22" s="79">
        <v>148</v>
      </c>
      <c r="AG22" s="79"/>
      <c r="AH22" s="82">
        <v>0</v>
      </c>
      <c r="AI22" s="79"/>
      <c r="AJ22" s="82">
        <v>3197</v>
      </c>
      <c r="AK22" s="82"/>
      <c r="AL22" s="79">
        <v>44</v>
      </c>
      <c r="AM22" s="82"/>
      <c r="AN22" s="82">
        <v>0</v>
      </c>
      <c r="AO22" s="79"/>
      <c r="AP22" s="82">
        <v>3707</v>
      </c>
      <c r="AQ22" s="79"/>
      <c r="AR22" s="79">
        <v>90</v>
      </c>
      <c r="AS22" s="56" t="s">
        <v>113</v>
      </c>
      <c r="AT22" s="56"/>
      <c r="AU22" s="56" t="s">
        <v>114</v>
      </c>
      <c r="AV22" s="82">
        <v>0</v>
      </c>
      <c r="AW22" s="79"/>
      <c r="AX22" s="82">
        <v>4910</v>
      </c>
      <c r="AY22" s="82"/>
      <c r="AZ22" s="79">
        <v>131</v>
      </c>
      <c r="BA22" s="82"/>
      <c r="BB22" s="82">
        <v>0</v>
      </c>
      <c r="BC22" s="79"/>
      <c r="BD22" s="82">
        <v>7072</v>
      </c>
      <c r="BE22" s="79"/>
      <c r="BF22" s="79">
        <v>165</v>
      </c>
      <c r="BG22" s="79"/>
      <c r="BH22" s="79"/>
      <c r="BI22" s="79"/>
      <c r="BJ22" s="79"/>
      <c r="BK22" s="79"/>
      <c r="BL22" s="79"/>
      <c r="BM22" s="265" t="s">
        <v>797</v>
      </c>
    </row>
    <row r="23" spans="1:65" x14ac:dyDescent="0.2">
      <c r="A23" s="257"/>
      <c r="B23" s="257"/>
      <c r="C23" s="257"/>
      <c r="D23" s="79">
        <v>223</v>
      </c>
      <c r="E23" s="79"/>
      <c r="F23" s="80" t="s">
        <v>115</v>
      </c>
      <c r="G23" s="79"/>
      <c r="H23" s="80" t="s">
        <v>111</v>
      </c>
      <c r="I23" s="79"/>
      <c r="J23" s="225" t="s">
        <v>116</v>
      </c>
      <c r="K23" s="79"/>
      <c r="L23" s="84" t="s">
        <v>117</v>
      </c>
      <c r="M23" s="79"/>
      <c r="N23" s="79" t="s">
        <v>55</v>
      </c>
      <c r="O23" s="79"/>
      <c r="P23" s="257"/>
      <c r="Q23" s="56">
        <v>905</v>
      </c>
      <c r="R23" s="79">
        <v>50</v>
      </c>
      <c r="S23" s="79"/>
      <c r="T23" s="81">
        <v>0</v>
      </c>
      <c r="U23" s="79"/>
      <c r="V23" s="82">
        <v>788</v>
      </c>
      <c r="W23" s="79"/>
      <c r="X23" s="79">
        <v>272</v>
      </c>
      <c r="Y23" s="79"/>
      <c r="Z23" s="82">
        <v>0</v>
      </c>
      <c r="AA23" s="79"/>
      <c r="AB23" s="82">
        <v>1356.43</v>
      </c>
      <c r="AC23" s="79"/>
      <c r="AD23" s="82">
        <v>1849</v>
      </c>
      <c r="AE23" s="79"/>
      <c r="AF23" s="79">
        <v>370</v>
      </c>
      <c r="AG23" s="79"/>
      <c r="AH23" s="82">
        <v>0</v>
      </c>
      <c r="AI23" s="79"/>
      <c r="AJ23" s="82">
        <v>2383</v>
      </c>
      <c r="AK23" s="82"/>
      <c r="AL23" s="79">
        <v>213</v>
      </c>
      <c r="AM23" s="82"/>
      <c r="AN23" s="82">
        <v>0</v>
      </c>
      <c r="AO23" s="79"/>
      <c r="AP23" s="82">
        <v>2530</v>
      </c>
      <c r="AQ23" s="79"/>
      <c r="AR23" s="79">
        <v>297</v>
      </c>
      <c r="AS23" s="56" t="s">
        <v>113</v>
      </c>
      <c r="AT23" s="56"/>
      <c r="AU23" s="56" t="s">
        <v>114</v>
      </c>
      <c r="AV23" s="82">
        <v>0</v>
      </c>
      <c r="AW23" s="79"/>
      <c r="AX23" s="82">
        <v>1660</v>
      </c>
      <c r="AY23" s="82"/>
      <c r="AZ23" s="79">
        <v>117</v>
      </c>
      <c r="BA23" s="82"/>
      <c r="BB23" s="82">
        <v>0</v>
      </c>
      <c r="BC23" s="79"/>
      <c r="BD23" s="82">
        <v>3850</v>
      </c>
      <c r="BE23" s="79"/>
      <c r="BF23" s="79">
        <v>182</v>
      </c>
      <c r="BG23" s="79"/>
      <c r="BH23" s="79"/>
      <c r="BI23" s="79"/>
      <c r="BJ23" s="79"/>
      <c r="BK23" s="79"/>
      <c r="BL23" s="79"/>
      <c r="BM23" s="265" t="s">
        <v>797</v>
      </c>
    </row>
    <row r="24" spans="1:65" ht="11.25" x14ac:dyDescent="0.2">
      <c r="A24" s="257"/>
      <c r="B24" s="257"/>
      <c r="C24" s="257"/>
      <c r="D24" s="79">
        <v>223</v>
      </c>
      <c r="E24" s="79"/>
      <c r="F24" s="259" t="s">
        <v>118</v>
      </c>
      <c r="G24" s="79"/>
      <c r="H24" s="80" t="s">
        <v>111</v>
      </c>
      <c r="I24" s="79"/>
      <c r="J24" s="225" t="s">
        <v>119</v>
      </c>
      <c r="K24" s="79"/>
      <c r="L24" s="84" t="s">
        <v>120</v>
      </c>
      <c r="M24" s="79"/>
      <c r="N24" s="79" t="s">
        <v>55</v>
      </c>
      <c r="O24" s="79"/>
      <c r="P24" s="257"/>
      <c r="Q24" s="56">
        <v>905</v>
      </c>
      <c r="R24" s="79">
        <v>60</v>
      </c>
      <c r="S24" s="79"/>
      <c r="T24" s="81">
        <v>0</v>
      </c>
      <c r="U24" s="79"/>
      <c r="V24" s="82">
        <v>265</v>
      </c>
      <c r="W24" s="79"/>
      <c r="X24" s="79">
        <v>72</v>
      </c>
      <c r="Y24" s="79"/>
      <c r="Z24" s="82">
        <v>0</v>
      </c>
      <c r="AA24" s="79"/>
      <c r="AB24" s="82">
        <v>1678</v>
      </c>
      <c r="AC24" s="79"/>
      <c r="AD24" s="82">
        <v>141</v>
      </c>
      <c r="AE24" s="79"/>
      <c r="AF24" s="79">
        <v>8</v>
      </c>
      <c r="AG24" s="79"/>
      <c r="AH24" s="82">
        <v>0</v>
      </c>
      <c r="AI24" s="79"/>
      <c r="AJ24" s="82">
        <v>247</v>
      </c>
      <c r="AK24" s="82"/>
      <c r="AL24" s="79">
        <v>28</v>
      </c>
      <c r="AM24" s="82"/>
      <c r="AN24" s="82">
        <v>0</v>
      </c>
      <c r="AO24" s="79"/>
      <c r="AP24" s="82">
        <v>720</v>
      </c>
      <c r="AQ24" s="79"/>
      <c r="AR24" s="79">
        <v>75</v>
      </c>
      <c r="AS24" s="56" t="s">
        <v>121</v>
      </c>
      <c r="AT24" s="56"/>
      <c r="AU24" s="56" t="s">
        <v>114</v>
      </c>
      <c r="AV24" s="82">
        <v>0</v>
      </c>
      <c r="AW24" s="79"/>
      <c r="AX24" s="82">
        <v>0</v>
      </c>
      <c r="AY24" s="82"/>
      <c r="AZ24" s="79">
        <v>0</v>
      </c>
      <c r="BA24" s="82"/>
      <c r="BB24" s="82">
        <v>0</v>
      </c>
      <c r="BC24" s="79"/>
      <c r="BD24" s="82">
        <v>0</v>
      </c>
      <c r="BE24" s="79"/>
      <c r="BF24" s="79">
        <v>0</v>
      </c>
      <c r="BG24" s="79"/>
      <c r="BH24" s="79"/>
      <c r="BI24" s="79"/>
      <c r="BJ24" s="79"/>
      <c r="BK24" s="79"/>
      <c r="BL24" s="79"/>
      <c r="BM24" s="344" t="s">
        <v>806</v>
      </c>
    </row>
    <row r="25" spans="1:65" s="85" customFormat="1" ht="11.25" x14ac:dyDescent="0.2">
      <c r="A25" s="84"/>
      <c r="B25" s="257"/>
      <c r="C25" s="84"/>
      <c r="D25" s="79">
        <v>223</v>
      </c>
      <c r="E25" s="79"/>
      <c r="F25" s="259" t="s">
        <v>122</v>
      </c>
      <c r="G25" s="79"/>
      <c r="H25" s="80" t="s">
        <v>111</v>
      </c>
      <c r="I25" s="79"/>
      <c r="J25" s="225" t="s">
        <v>119</v>
      </c>
      <c r="K25" s="79"/>
      <c r="L25" s="84" t="s">
        <v>123</v>
      </c>
      <c r="M25" s="79"/>
      <c r="N25" s="79" t="s">
        <v>55</v>
      </c>
      <c r="O25" s="79"/>
      <c r="P25" s="84"/>
      <c r="Q25" s="67">
        <v>905</v>
      </c>
      <c r="R25" s="79">
        <v>20</v>
      </c>
      <c r="S25" s="79"/>
      <c r="T25" s="81">
        <v>0</v>
      </c>
      <c r="U25" s="79"/>
      <c r="V25" s="82">
        <v>1588.8</v>
      </c>
      <c r="W25" s="79"/>
      <c r="X25" s="79">
        <v>15</v>
      </c>
      <c r="Y25" s="79"/>
      <c r="Z25" s="82">
        <v>0</v>
      </c>
      <c r="AA25" s="79"/>
      <c r="AB25" s="82">
        <v>91.8</v>
      </c>
      <c r="AC25" s="79"/>
      <c r="AD25" s="82">
        <v>46.75</v>
      </c>
      <c r="AE25" s="79"/>
      <c r="AF25" s="79">
        <v>45</v>
      </c>
      <c r="AG25" s="79"/>
      <c r="AH25" s="82">
        <v>0</v>
      </c>
      <c r="AI25" s="79"/>
      <c r="AJ25" s="82">
        <v>122.9</v>
      </c>
      <c r="AK25" s="82"/>
      <c r="AL25" s="79">
        <v>23</v>
      </c>
      <c r="AM25" s="82"/>
      <c r="AN25" s="82">
        <v>0</v>
      </c>
      <c r="AO25" s="79"/>
      <c r="AP25" s="82">
        <v>809</v>
      </c>
      <c r="AQ25" s="79"/>
      <c r="AR25" s="79">
        <v>120</v>
      </c>
      <c r="AS25" s="67" t="s">
        <v>124</v>
      </c>
      <c r="AT25" s="67"/>
      <c r="AU25" s="67" t="s">
        <v>114</v>
      </c>
      <c r="AV25" s="82">
        <v>0</v>
      </c>
      <c r="AW25" s="79"/>
      <c r="AX25" s="82">
        <v>0</v>
      </c>
      <c r="AY25" s="82"/>
      <c r="AZ25" s="79">
        <v>0</v>
      </c>
      <c r="BA25" s="82"/>
      <c r="BB25" s="82">
        <v>0</v>
      </c>
      <c r="BC25" s="79"/>
      <c r="BD25" s="82">
        <v>0</v>
      </c>
      <c r="BE25" s="79"/>
      <c r="BF25" s="79">
        <v>0</v>
      </c>
      <c r="BG25" s="79"/>
      <c r="BH25" s="79"/>
      <c r="BI25" s="79"/>
      <c r="BJ25" s="79"/>
      <c r="BK25" s="79"/>
      <c r="BL25" s="79"/>
      <c r="BM25" s="344" t="s">
        <v>806</v>
      </c>
    </row>
    <row r="26" spans="1:65" s="85" customFormat="1" x14ac:dyDescent="0.2">
      <c r="A26" s="84"/>
      <c r="B26" s="257"/>
      <c r="C26" s="84"/>
      <c r="D26" s="79">
        <v>223</v>
      </c>
      <c r="E26" s="79"/>
      <c r="F26" s="80" t="s">
        <v>125</v>
      </c>
      <c r="G26" s="79"/>
      <c r="H26" s="80" t="s">
        <v>111</v>
      </c>
      <c r="I26" s="79"/>
      <c r="J26" s="225" t="s">
        <v>119</v>
      </c>
      <c r="K26" s="79"/>
      <c r="L26" s="84" t="s">
        <v>120</v>
      </c>
      <c r="M26" s="79"/>
      <c r="N26" s="79" t="s">
        <v>55</v>
      </c>
      <c r="O26" s="79"/>
      <c r="P26" s="84"/>
      <c r="Q26" s="67">
        <v>905</v>
      </c>
      <c r="R26" s="79">
        <v>10</v>
      </c>
      <c r="S26" s="79"/>
      <c r="T26" s="81">
        <v>0</v>
      </c>
      <c r="U26" s="79"/>
      <c r="V26" s="82">
        <v>8</v>
      </c>
      <c r="W26" s="79"/>
      <c r="X26" s="79">
        <v>1</v>
      </c>
      <c r="Y26" s="79"/>
      <c r="Z26" s="82">
        <v>0</v>
      </c>
      <c r="AA26" s="79"/>
      <c r="AB26" s="82">
        <v>5</v>
      </c>
      <c r="AC26" s="79"/>
      <c r="AD26" s="82">
        <v>0</v>
      </c>
      <c r="AE26" s="79"/>
      <c r="AF26" s="79">
        <v>0</v>
      </c>
      <c r="AG26" s="79"/>
      <c r="AH26" s="82">
        <v>0</v>
      </c>
      <c r="AI26" s="79"/>
      <c r="AJ26" s="82">
        <v>0</v>
      </c>
      <c r="AK26" s="82"/>
      <c r="AL26" s="79">
        <v>0</v>
      </c>
      <c r="AM26" s="82"/>
      <c r="AN26" s="82">
        <v>0</v>
      </c>
      <c r="AO26" s="79"/>
      <c r="AP26" s="82">
        <v>14</v>
      </c>
      <c r="AQ26" s="79"/>
      <c r="AR26" s="79">
        <v>70</v>
      </c>
      <c r="AS26" s="67" t="s">
        <v>126</v>
      </c>
      <c r="AT26" s="67"/>
      <c r="AU26" s="67" t="s">
        <v>114</v>
      </c>
      <c r="AV26" s="82">
        <v>0</v>
      </c>
      <c r="AW26" s="79"/>
      <c r="AX26" s="82">
        <v>107</v>
      </c>
      <c r="AY26" s="82"/>
      <c r="AZ26" s="79">
        <v>107</v>
      </c>
      <c r="BA26" s="82"/>
      <c r="BB26" s="82">
        <v>0</v>
      </c>
      <c r="BC26" s="79"/>
      <c r="BD26" s="82">
        <v>342</v>
      </c>
      <c r="BE26" s="79"/>
      <c r="BF26" s="79">
        <v>342</v>
      </c>
      <c r="BG26" s="79"/>
      <c r="BH26" s="79"/>
      <c r="BI26" s="79"/>
      <c r="BJ26" s="79"/>
      <c r="BK26" s="79"/>
      <c r="BL26" s="79"/>
      <c r="BM26" s="265" t="s">
        <v>797</v>
      </c>
    </row>
    <row r="27" spans="1:65" x14ac:dyDescent="0.2">
      <c r="A27" s="257"/>
      <c r="B27" s="257"/>
      <c r="C27" s="257"/>
      <c r="D27" s="79">
        <v>223</v>
      </c>
      <c r="E27" s="79"/>
      <c r="F27" s="80" t="s">
        <v>127</v>
      </c>
      <c r="G27" s="79"/>
      <c r="H27" s="80" t="s">
        <v>111</v>
      </c>
      <c r="I27" s="79"/>
      <c r="J27" s="225" t="s">
        <v>119</v>
      </c>
      <c r="K27" s="79"/>
      <c r="L27" s="84" t="s">
        <v>128</v>
      </c>
      <c r="M27" s="79"/>
      <c r="N27" s="79" t="s">
        <v>55</v>
      </c>
      <c r="O27" s="79"/>
      <c r="P27" s="257"/>
      <c r="Q27" s="56">
        <v>905</v>
      </c>
      <c r="R27" s="79">
        <v>250</v>
      </c>
      <c r="S27" s="79"/>
      <c r="T27" s="81">
        <v>0</v>
      </c>
      <c r="U27" s="79"/>
      <c r="V27" s="82">
        <v>3023.28</v>
      </c>
      <c r="W27" s="79"/>
      <c r="X27" s="79">
        <v>170</v>
      </c>
      <c r="Y27" s="79"/>
      <c r="Z27" s="82">
        <v>0</v>
      </c>
      <c r="AA27" s="79"/>
      <c r="AB27" s="82">
        <v>3647</v>
      </c>
      <c r="AC27" s="79"/>
      <c r="AD27" s="82">
        <v>4825.43</v>
      </c>
      <c r="AE27" s="79"/>
      <c r="AF27" s="79">
        <v>241</v>
      </c>
      <c r="AG27" s="79"/>
      <c r="AH27" s="82">
        <v>0</v>
      </c>
      <c r="AI27" s="79"/>
      <c r="AJ27" s="82">
        <v>3420</v>
      </c>
      <c r="AK27" s="82"/>
      <c r="AL27" s="79">
        <v>233</v>
      </c>
      <c r="AM27" s="82"/>
      <c r="AN27" s="82">
        <v>0</v>
      </c>
      <c r="AO27" s="79"/>
      <c r="AP27" s="82">
        <v>4831.9399999999996</v>
      </c>
      <c r="AQ27" s="79"/>
      <c r="AR27" s="79">
        <v>323</v>
      </c>
      <c r="AS27" s="56" t="s">
        <v>129</v>
      </c>
      <c r="AT27" s="56"/>
      <c r="AU27" s="56" t="s">
        <v>114</v>
      </c>
      <c r="AV27" s="82">
        <v>0</v>
      </c>
      <c r="AW27" s="79"/>
      <c r="AX27" s="82">
        <v>7584.8</v>
      </c>
      <c r="AY27" s="82"/>
      <c r="AZ27" s="79">
        <v>379</v>
      </c>
      <c r="BA27" s="82"/>
      <c r="BB27" s="82">
        <v>0</v>
      </c>
      <c r="BC27" s="79"/>
      <c r="BD27" s="82">
        <v>7506.26</v>
      </c>
      <c r="BE27" s="79"/>
      <c r="BF27" s="79">
        <v>375</v>
      </c>
      <c r="BG27" s="235"/>
      <c r="BH27" s="235"/>
      <c r="BI27" s="235"/>
      <c r="BJ27" s="235"/>
      <c r="BK27" s="235"/>
      <c r="BL27" s="235"/>
      <c r="BM27" s="345" t="s">
        <v>797</v>
      </c>
    </row>
    <row r="28" spans="1:65" ht="22.5" x14ac:dyDescent="0.2">
      <c r="A28" s="257"/>
      <c r="B28" s="257"/>
      <c r="C28" s="257"/>
      <c r="D28" s="79">
        <v>223</v>
      </c>
      <c r="E28" s="79"/>
      <c r="F28" s="80" t="s">
        <v>130</v>
      </c>
      <c r="G28" s="79"/>
      <c r="H28" s="80" t="s">
        <v>111</v>
      </c>
      <c r="I28" s="79"/>
      <c r="J28" s="225">
        <v>50</v>
      </c>
      <c r="K28" s="79"/>
      <c r="L28" s="84" t="s">
        <v>128</v>
      </c>
      <c r="M28" s="79"/>
      <c r="N28" s="79" t="s">
        <v>55</v>
      </c>
      <c r="O28" s="79"/>
      <c r="P28" s="257"/>
      <c r="Q28" s="56">
        <v>905</v>
      </c>
      <c r="R28" s="79">
        <v>10</v>
      </c>
      <c r="S28" s="79"/>
      <c r="T28" s="81">
        <v>0</v>
      </c>
      <c r="U28" s="79"/>
      <c r="V28" s="82">
        <v>600</v>
      </c>
      <c r="W28" s="79"/>
      <c r="X28" s="79">
        <v>5</v>
      </c>
      <c r="Y28" s="79"/>
      <c r="Z28" s="82">
        <v>0</v>
      </c>
      <c r="AA28" s="79"/>
      <c r="AB28" s="82">
        <v>260</v>
      </c>
      <c r="AC28" s="79"/>
      <c r="AD28" s="82">
        <v>550</v>
      </c>
      <c r="AE28" s="79"/>
      <c r="AF28" s="79">
        <v>11</v>
      </c>
      <c r="AG28" s="79"/>
      <c r="AH28" s="82">
        <v>0</v>
      </c>
      <c r="AI28" s="79"/>
      <c r="AJ28" s="82">
        <v>2695</v>
      </c>
      <c r="AK28" s="82"/>
      <c r="AL28" s="79">
        <v>66</v>
      </c>
      <c r="AM28" s="82"/>
      <c r="AN28" s="82">
        <v>0</v>
      </c>
      <c r="AO28" s="79"/>
      <c r="AP28" s="82">
        <v>785</v>
      </c>
      <c r="AQ28" s="79"/>
      <c r="AR28" s="79">
        <v>15</v>
      </c>
      <c r="AS28" s="56" t="s">
        <v>131</v>
      </c>
      <c r="AT28" s="56"/>
      <c r="AU28" s="56" t="s">
        <v>114</v>
      </c>
      <c r="AV28" s="82">
        <v>0</v>
      </c>
      <c r="AW28" s="79"/>
      <c r="AX28" s="82">
        <v>650</v>
      </c>
      <c r="AY28" s="82"/>
      <c r="AZ28" s="79">
        <v>13</v>
      </c>
      <c r="BA28" s="82"/>
      <c r="BB28" s="82">
        <v>0</v>
      </c>
      <c r="BC28" s="79"/>
      <c r="BD28" s="82">
        <v>1100</v>
      </c>
      <c r="BE28" s="79"/>
      <c r="BF28" s="79">
        <v>22</v>
      </c>
      <c r="BG28" s="79"/>
      <c r="BH28" s="79"/>
      <c r="BI28" s="79"/>
      <c r="BJ28" s="79"/>
      <c r="BK28" s="79"/>
      <c r="BL28" s="79"/>
      <c r="BM28" s="265" t="s">
        <v>797</v>
      </c>
    </row>
    <row r="29" spans="1:65" ht="22.5" x14ac:dyDescent="0.2">
      <c r="A29" s="257"/>
      <c r="B29" s="257"/>
      <c r="C29" s="257"/>
      <c r="D29" s="79">
        <v>223</v>
      </c>
      <c r="E29" s="79"/>
      <c r="F29" s="80" t="s">
        <v>86</v>
      </c>
      <c r="G29" s="79" t="s">
        <v>132</v>
      </c>
      <c r="H29" s="80" t="s">
        <v>111</v>
      </c>
      <c r="I29" s="79"/>
      <c r="J29" s="225">
        <v>300</v>
      </c>
      <c r="K29" s="79"/>
      <c r="L29" s="84" t="s">
        <v>112</v>
      </c>
      <c r="M29" s="79"/>
      <c r="N29" s="79" t="s">
        <v>55</v>
      </c>
      <c r="O29" s="79"/>
      <c r="P29" s="257"/>
      <c r="Q29" s="56">
        <v>905</v>
      </c>
      <c r="R29" s="79">
        <v>1913</v>
      </c>
      <c r="S29" s="79"/>
      <c r="T29" s="81">
        <v>0</v>
      </c>
      <c r="U29" s="79"/>
      <c r="V29" s="82">
        <v>371813</v>
      </c>
      <c r="W29" s="79"/>
      <c r="X29" s="79">
        <v>1971</v>
      </c>
      <c r="Y29" s="79"/>
      <c r="Z29" s="82">
        <v>0</v>
      </c>
      <c r="AA29" s="79"/>
      <c r="AB29" s="82">
        <v>405874.46</v>
      </c>
      <c r="AC29" s="79"/>
      <c r="AD29" s="82">
        <v>352616.32</v>
      </c>
      <c r="AE29" s="79"/>
      <c r="AF29" s="79">
        <v>2392</v>
      </c>
      <c r="AG29" s="79"/>
      <c r="AH29" s="82">
        <v>0</v>
      </c>
      <c r="AI29" s="79"/>
      <c r="AJ29" s="82">
        <v>409921</v>
      </c>
      <c r="AK29" s="82"/>
      <c r="AL29" s="79">
        <v>2947</v>
      </c>
      <c r="AM29" s="82"/>
      <c r="AN29" s="82">
        <v>0</v>
      </c>
      <c r="AO29" s="79"/>
      <c r="AP29" s="82">
        <v>404322</v>
      </c>
      <c r="AQ29" s="79"/>
      <c r="AR29" s="79">
        <v>3072</v>
      </c>
      <c r="AS29" s="56" t="s">
        <v>133</v>
      </c>
      <c r="AT29" s="56"/>
      <c r="AU29" s="56" t="s">
        <v>58</v>
      </c>
      <c r="AV29" s="82">
        <v>0</v>
      </c>
      <c r="AW29" s="79"/>
      <c r="AX29" s="82">
        <v>427731</v>
      </c>
      <c r="AY29" s="82"/>
      <c r="AZ29" s="79">
        <v>2808</v>
      </c>
      <c r="BA29" s="82"/>
      <c r="BB29" s="82">
        <v>0</v>
      </c>
      <c r="BC29" s="79"/>
      <c r="BD29" s="82">
        <v>436448</v>
      </c>
      <c r="BE29" s="79"/>
      <c r="BF29" s="86">
        <v>3028</v>
      </c>
      <c r="BG29" s="86"/>
      <c r="BH29" s="86"/>
      <c r="BI29" s="86"/>
      <c r="BJ29" s="86"/>
      <c r="BK29" s="86"/>
      <c r="BL29" s="86"/>
      <c r="BM29" s="265" t="s">
        <v>782</v>
      </c>
    </row>
    <row r="30" spans="1:65" ht="22.5" x14ac:dyDescent="0.2">
      <c r="A30" s="257"/>
      <c r="B30" s="257"/>
      <c r="C30" s="257"/>
      <c r="D30" s="79">
        <v>223</v>
      </c>
      <c r="E30" s="79"/>
      <c r="F30" s="80" t="s">
        <v>134</v>
      </c>
      <c r="G30" s="79"/>
      <c r="H30" s="80" t="s">
        <v>111</v>
      </c>
      <c r="I30" s="79"/>
      <c r="J30" s="225">
        <v>14</v>
      </c>
      <c r="K30" s="79"/>
      <c r="L30" s="84" t="s">
        <v>135</v>
      </c>
      <c r="M30" s="79"/>
      <c r="N30" s="79" t="s">
        <v>55</v>
      </c>
      <c r="O30" s="79"/>
      <c r="P30" s="257"/>
      <c r="Q30" s="56">
        <v>905</v>
      </c>
      <c r="R30" s="79">
        <v>306</v>
      </c>
      <c r="S30" s="79"/>
      <c r="T30" s="81">
        <v>0</v>
      </c>
      <c r="U30" s="79"/>
      <c r="V30" s="82">
        <v>343882.91</v>
      </c>
      <c r="W30" s="79"/>
      <c r="X30" s="79">
        <v>277</v>
      </c>
      <c r="Y30" s="79"/>
      <c r="Z30" s="82">
        <v>0</v>
      </c>
      <c r="AA30" s="79"/>
      <c r="AB30" s="82">
        <v>378364</v>
      </c>
      <c r="AC30" s="79"/>
      <c r="AD30" s="82">
        <v>392885.17</v>
      </c>
      <c r="AE30" s="79"/>
      <c r="AF30" s="79">
        <v>27375</v>
      </c>
      <c r="AG30" s="79"/>
      <c r="AH30" s="82">
        <v>0</v>
      </c>
      <c r="AI30" s="79"/>
      <c r="AJ30" s="82">
        <v>374181</v>
      </c>
      <c r="AK30" s="82"/>
      <c r="AL30" s="79">
        <v>29773</v>
      </c>
      <c r="AM30" s="82"/>
      <c r="AN30" s="82">
        <v>0</v>
      </c>
      <c r="AO30" s="79"/>
      <c r="AP30" s="82">
        <v>464870</v>
      </c>
      <c r="AQ30" s="79"/>
      <c r="AR30" s="79">
        <v>37292</v>
      </c>
      <c r="AS30" s="56" t="s">
        <v>133</v>
      </c>
      <c r="AT30" s="56"/>
      <c r="AU30" s="56" t="s">
        <v>58</v>
      </c>
      <c r="AV30" s="82">
        <v>0</v>
      </c>
      <c r="AW30" s="79"/>
      <c r="AX30" s="82">
        <v>599867</v>
      </c>
      <c r="AY30" s="82"/>
      <c r="AZ30" s="79">
        <v>44420</v>
      </c>
      <c r="BA30" s="82"/>
      <c r="BB30" s="82">
        <v>0</v>
      </c>
      <c r="BC30" s="79"/>
      <c r="BD30" s="82">
        <v>598571</v>
      </c>
      <c r="BE30" s="79"/>
      <c r="BF30" s="86">
        <v>44139</v>
      </c>
      <c r="BG30" s="86"/>
      <c r="BH30" s="86"/>
      <c r="BI30" s="86"/>
      <c r="BJ30" s="86"/>
      <c r="BK30" s="86"/>
      <c r="BL30" s="86"/>
      <c r="BM30" s="265" t="s">
        <v>797</v>
      </c>
    </row>
    <row r="31" spans="1:65" ht="22.5" x14ac:dyDescent="0.2">
      <c r="A31" s="257"/>
      <c r="B31" s="257"/>
      <c r="C31" s="257"/>
      <c r="D31" s="79">
        <v>223</v>
      </c>
      <c r="E31" s="79"/>
      <c r="F31" s="80" t="s">
        <v>136</v>
      </c>
      <c r="G31" s="79"/>
      <c r="H31" s="80" t="s">
        <v>111</v>
      </c>
      <c r="I31" s="79"/>
      <c r="J31" s="225">
        <v>15</v>
      </c>
      <c r="K31" s="79"/>
      <c r="L31" s="84" t="s">
        <v>135</v>
      </c>
      <c r="M31" s="79"/>
      <c r="N31" s="79" t="s">
        <v>55</v>
      </c>
      <c r="O31" s="79"/>
      <c r="P31" s="257"/>
      <c r="Q31" s="56">
        <v>905</v>
      </c>
      <c r="R31" s="79">
        <v>306</v>
      </c>
      <c r="S31" s="79"/>
      <c r="T31" s="81">
        <v>0</v>
      </c>
      <c r="U31" s="79"/>
      <c r="V31" s="82">
        <v>35033.15</v>
      </c>
      <c r="W31" s="79"/>
      <c r="X31" s="79">
        <v>277</v>
      </c>
      <c r="Y31" s="79"/>
      <c r="Z31" s="82">
        <v>0</v>
      </c>
      <c r="AA31" s="79"/>
      <c r="AB31" s="82">
        <v>50301</v>
      </c>
      <c r="AC31" s="79"/>
      <c r="AD31" s="82">
        <v>38109.47</v>
      </c>
      <c r="AE31" s="79"/>
      <c r="AF31" s="79">
        <v>27375</v>
      </c>
      <c r="AG31" s="79"/>
      <c r="AH31" s="82">
        <v>0</v>
      </c>
      <c r="AI31" s="79"/>
      <c r="AJ31" s="82">
        <v>30361</v>
      </c>
      <c r="AK31" s="82"/>
      <c r="AL31" s="79">
        <v>29773</v>
      </c>
      <c r="AM31" s="82"/>
      <c r="AN31" s="82">
        <v>0</v>
      </c>
      <c r="AO31" s="79"/>
      <c r="AP31" s="82">
        <v>72284</v>
      </c>
      <c r="AQ31" s="79"/>
      <c r="AR31" s="79">
        <v>37292</v>
      </c>
      <c r="AS31" s="56" t="s">
        <v>133</v>
      </c>
      <c r="AT31" s="56"/>
      <c r="AU31" s="56" t="s">
        <v>58</v>
      </c>
      <c r="AV31" s="82">
        <v>0</v>
      </c>
      <c r="AW31" s="79"/>
      <c r="AX31" s="82">
        <v>87942</v>
      </c>
      <c r="AY31" s="82"/>
      <c r="AZ31" s="79">
        <v>44420</v>
      </c>
      <c r="BA31" s="82"/>
      <c r="BB31" s="82">
        <v>0</v>
      </c>
      <c r="BC31" s="79"/>
      <c r="BD31" s="82">
        <v>88178.13</v>
      </c>
      <c r="BE31" s="79"/>
      <c r="BF31" s="86">
        <v>44139</v>
      </c>
      <c r="BG31" s="86"/>
      <c r="BH31" s="86"/>
      <c r="BI31" s="86"/>
      <c r="BJ31" s="86"/>
      <c r="BK31" s="86"/>
      <c r="BL31" s="86"/>
      <c r="BM31" s="265" t="s">
        <v>797</v>
      </c>
    </row>
    <row r="32" spans="1:65" ht="22.5" x14ac:dyDescent="0.2">
      <c r="A32" s="257"/>
      <c r="B32" s="257" t="s">
        <v>137</v>
      </c>
      <c r="C32" s="257"/>
      <c r="D32" s="79">
        <v>224</v>
      </c>
      <c r="E32" s="79"/>
      <c r="F32" s="80" t="s">
        <v>138</v>
      </c>
      <c r="G32" s="79"/>
      <c r="H32" s="80" t="s">
        <v>139</v>
      </c>
      <c r="I32" s="79"/>
      <c r="J32" s="225">
        <v>300</v>
      </c>
      <c r="K32" s="79"/>
      <c r="L32" s="84" t="s">
        <v>54</v>
      </c>
      <c r="M32" s="79"/>
      <c r="N32" s="79" t="s">
        <v>55</v>
      </c>
      <c r="O32" s="79"/>
      <c r="P32" s="257"/>
      <c r="Q32" s="56" t="s">
        <v>140</v>
      </c>
      <c r="R32" s="79">
        <v>400</v>
      </c>
      <c r="S32" s="79"/>
      <c r="T32" s="81">
        <v>0</v>
      </c>
      <c r="U32" s="79"/>
      <c r="V32" s="82">
        <v>119867</v>
      </c>
      <c r="W32" s="79"/>
      <c r="X32" s="79">
        <v>727</v>
      </c>
      <c r="Y32" s="79"/>
      <c r="Z32" s="82">
        <v>0</v>
      </c>
      <c r="AA32" s="79"/>
      <c r="AB32" s="82">
        <v>129449.61</v>
      </c>
      <c r="AC32" s="79"/>
      <c r="AD32" s="82">
        <v>128974.18</v>
      </c>
      <c r="AE32" s="79"/>
      <c r="AF32" s="79">
        <v>816</v>
      </c>
      <c r="AG32" s="79"/>
      <c r="AH32" s="82">
        <v>0</v>
      </c>
      <c r="AI32" s="79"/>
      <c r="AJ32" s="82">
        <v>125654.93</v>
      </c>
      <c r="AK32" s="82"/>
      <c r="AL32" s="79">
        <v>682</v>
      </c>
      <c r="AM32" s="82"/>
      <c r="AN32" s="82">
        <v>0</v>
      </c>
      <c r="AO32" s="79"/>
      <c r="AP32" s="82">
        <v>207452.99</v>
      </c>
      <c r="AQ32" s="79"/>
      <c r="AR32" s="79">
        <v>1050</v>
      </c>
      <c r="AS32" s="56" t="s">
        <v>141</v>
      </c>
      <c r="AT32" s="56"/>
      <c r="AU32" s="56" t="s">
        <v>142</v>
      </c>
      <c r="AV32" s="82">
        <v>0</v>
      </c>
      <c r="AW32" s="79"/>
      <c r="AX32" s="82">
        <v>341987.4</v>
      </c>
      <c r="AY32" s="82"/>
      <c r="AZ32" s="79">
        <v>1571</v>
      </c>
      <c r="BA32" s="82"/>
      <c r="BB32" s="82">
        <v>0</v>
      </c>
      <c r="BC32" s="79"/>
      <c r="BD32" s="82">
        <v>410366.8</v>
      </c>
      <c r="BE32" s="79"/>
      <c r="BF32" s="86">
        <v>1840</v>
      </c>
      <c r="BG32" s="326"/>
      <c r="BH32" s="326"/>
      <c r="BI32" s="326"/>
      <c r="BJ32" s="326"/>
      <c r="BK32" s="326"/>
      <c r="BL32" s="326"/>
      <c r="BM32" s="247" t="s">
        <v>782</v>
      </c>
    </row>
    <row r="33" spans="1:65" s="85" customFormat="1" ht="33.75" x14ac:dyDescent="0.2">
      <c r="A33" s="84"/>
      <c r="B33" s="257"/>
      <c r="C33" s="84"/>
      <c r="D33" s="79">
        <v>224</v>
      </c>
      <c r="E33" s="79"/>
      <c r="F33" s="80" t="s">
        <v>143</v>
      </c>
      <c r="G33" s="79"/>
      <c r="H33" s="80" t="s">
        <v>139</v>
      </c>
      <c r="I33" s="79"/>
      <c r="J33" s="225">
        <v>70</v>
      </c>
      <c r="K33" s="79"/>
      <c r="L33" s="84" t="s">
        <v>144</v>
      </c>
      <c r="M33" s="79"/>
      <c r="N33" s="79" t="s">
        <v>55</v>
      </c>
      <c r="O33" s="79"/>
      <c r="P33" s="84"/>
      <c r="Q33" s="67">
        <v>905</v>
      </c>
      <c r="R33" s="79">
        <v>20</v>
      </c>
      <c r="S33" s="79"/>
      <c r="T33" s="81">
        <v>0</v>
      </c>
      <c r="U33" s="79"/>
      <c r="V33" s="82">
        <v>1400</v>
      </c>
      <c r="W33" s="79"/>
      <c r="X33" s="79">
        <v>19</v>
      </c>
      <c r="Y33" s="79"/>
      <c r="Z33" s="82">
        <v>0</v>
      </c>
      <c r="AA33" s="79"/>
      <c r="AB33" s="82">
        <v>1330</v>
      </c>
      <c r="AC33" s="79"/>
      <c r="AD33" s="82" t="s">
        <v>650</v>
      </c>
      <c r="AE33" s="79"/>
      <c r="AF33" s="79"/>
      <c r="AG33" s="79"/>
      <c r="AH33" s="82">
        <v>0</v>
      </c>
      <c r="AI33" s="79"/>
      <c r="AJ33" s="82" t="s">
        <v>650</v>
      </c>
      <c r="AK33" s="82"/>
      <c r="AL33" s="79">
        <v>27</v>
      </c>
      <c r="AM33" s="82"/>
      <c r="AN33" s="82">
        <v>0</v>
      </c>
      <c r="AO33" s="79"/>
      <c r="AP33" s="82" t="s">
        <v>650</v>
      </c>
      <c r="AQ33" s="79"/>
      <c r="AR33" s="79">
        <v>35</v>
      </c>
      <c r="AS33" s="67" t="s">
        <v>145</v>
      </c>
      <c r="AT33" s="67"/>
      <c r="AU33" s="67"/>
      <c r="AV33" s="82">
        <v>0</v>
      </c>
      <c r="AW33" s="79"/>
      <c r="AX33" s="82" t="s">
        <v>650</v>
      </c>
      <c r="AY33" s="82"/>
      <c r="AZ33" s="79">
        <v>0</v>
      </c>
      <c r="BA33" s="82"/>
      <c r="BB33" s="82">
        <v>0</v>
      </c>
      <c r="BC33" s="79"/>
      <c r="BD33" s="82" t="s">
        <v>650</v>
      </c>
      <c r="BE33" s="79"/>
      <c r="BF33" s="79">
        <v>0</v>
      </c>
      <c r="BG33" s="79"/>
      <c r="BH33" s="79"/>
      <c r="BI33" s="79"/>
      <c r="BJ33" s="79"/>
      <c r="BK33" s="79"/>
      <c r="BL33" s="79"/>
      <c r="BM33" s="344" t="s">
        <v>807</v>
      </c>
    </row>
    <row r="34" spans="1:65" ht="22.5" x14ac:dyDescent="0.2">
      <c r="A34" s="257"/>
      <c r="B34" s="257"/>
      <c r="C34" s="257"/>
      <c r="D34" s="79">
        <v>224</v>
      </c>
      <c r="E34" s="79"/>
      <c r="F34" s="80" t="s">
        <v>143</v>
      </c>
      <c r="G34" s="79"/>
      <c r="H34" s="80" t="s">
        <v>139</v>
      </c>
      <c r="I34" s="79"/>
      <c r="J34" s="225">
        <v>20</v>
      </c>
      <c r="K34" s="79"/>
      <c r="L34" s="84" t="s">
        <v>146</v>
      </c>
      <c r="M34" s="79"/>
      <c r="N34" s="79" t="s">
        <v>55</v>
      </c>
      <c r="O34" s="79"/>
      <c r="P34" s="257"/>
      <c r="Q34" s="56">
        <v>905</v>
      </c>
      <c r="R34" s="79">
        <v>40</v>
      </c>
      <c r="S34" s="79"/>
      <c r="T34" s="81">
        <v>0</v>
      </c>
      <c r="U34" s="79"/>
      <c r="V34" s="82">
        <v>8446</v>
      </c>
      <c r="W34" s="79"/>
      <c r="X34" s="79">
        <v>55</v>
      </c>
      <c r="Y34" s="79"/>
      <c r="Z34" s="82">
        <v>0</v>
      </c>
      <c r="AA34" s="79"/>
      <c r="AB34" s="82">
        <v>14098</v>
      </c>
      <c r="AC34" s="79"/>
      <c r="AD34" s="82">
        <v>26732.080000000002</v>
      </c>
      <c r="AE34" s="79"/>
      <c r="AF34" s="79">
        <v>77</v>
      </c>
      <c r="AG34" s="79"/>
      <c r="AH34" s="82">
        <v>0</v>
      </c>
      <c r="AI34" s="79"/>
      <c r="AJ34" s="82">
        <v>30067.759999999998</v>
      </c>
      <c r="AK34" s="82"/>
      <c r="AL34" s="79">
        <v>145</v>
      </c>
      <c r="AM34" s="82"/>
      <c r="AN34" s="82">
        <v>0</v>
      </c>
      <c r="AO34" s="79"/>
      <c r="AP34" s="82">
        <v>31626.44</v>
      </c>
      <c r="AQ34" s="79"/>
      <c r="AR34" s="79">
        <v>162</v>
      </c>
      <c r="AS34" s="56" t="s">
        <v>147</v>
      </c>
      <c r="AT34" s="56"/>
      <c r="AU34" s="56"/>
      <c r="AV34" s="82">
        <v>0</v>
      </c>
      <c r="AW34" s="79"/>
      <c r="AX34" s="82">
        <v>28743.11</v>
      </c>
      <c r="AY34" s="82"/>
      <c r="AZ34" s="79">
        <v>81</v>
      </c>
      <c r="BA34" s="82"/>
      <c r="BB34" s="82">
        <v>0</v>
      </c>
      <c r="BC34" s="79"/>
      <c r="BD34" s="82">
        <v>17789.419999999998</v>
      </c>
      <c r="BE34" s="79"/>
      <c r="BF34" s="79">
        <v>61</v>
      </c>
      <c r="BG34" s="79"/>
      <c r="BH34" s="79"/>
      <c r="BI34" s="79"/>
      <c r="BJ34" s="79"/>
      <c r="BK34" s="79"/>
      <c r="BL34" s="79"/>
      <c r="BM34" s="265" t="s">
        <v>797</v>
      </c>
    </row>
    <row r="35" spans="1:65" s="85" customFormat="1" ht="22.5" x14ac:dyDescent="0.2">
      <c r="A35" s="84"/>
      <c r="B35" s="257"/>
      <c r="C35" s="84"/>
      <c r="D35" s="79">
        <v>224</v>
      </c>
      <c r="E35" s="79"/>
      <c r="F35" s="80" t="s">
        <v>148</v>
      </c>
      <c r="G35" s="79"/>
      <c r="H35" s="80" t="s">
        <v>139</v>
      </c>
      <c r="I35" s="79"/>
      <c r="J35" s="225">
        <v>150</v>
      </c>
      <c r="K35" s="79"/>
      <c r="L35" s="80" t="s">
        <v>149</v>
      </c>
      <c r="M35" s="79"/>
      <c r="N35" s="79" t="s">
        <v>55</v>
      </c>
      <c r="O35" s="79"/>
      <c r="P35" s="84"/>
      <c r="Q35" s="67">
        <v>905</v>
      </c>
      <c r="R35" s="79">
        <v>22</v>
      </c>
      <c r="S35" s="79"/>
      <c r="T35" s="81">
        <v>0</v>
      </c>
      <c r="U35" s="79"/>
      <c r="V35" s="82">
        <v>3300</v>
      </c>
      <c r="W35" s="79"/>
      <c r="X35" s="79">
        <v>11</v>
      </c>
      <c r="Y35" s="79"/>
      <c r="Z35" s="82">
        <v>0</v>
      </c>
      <c r="AA35" s="79"/>
      <c r="AB35" s="82" t="s">
        <v>650</v>
      </c>
      <c r="AC35" s="79"/>
      <c r="AD35" s="82" t="s">
        <v>650</v>
      </c>
      <c r="AE35" s="79"/>
      <c r="AF35" s="79"/>
      <c r="AG35" s="79"/>
      <c r="AH35" s="82">
        <v>0</v>
      </c>
      <c r="AI35" s="79"/>
      <c r="AJ35" s="82" t="s">
        <v>650</v>
      </c>
      <c r="AK35" s="82"/>
      <c r="AL35" s="79">
        <v>90</v>
      </c>
      <c r="AM35" s="82"/>
      <c r="AN35" s="82">
        <v>0</v>
      </c>
      <c r="AO35" s="79"/>
      <c r="AP35" s="82" t="s">
        <v>650</v>
      </c>
      <c r="AQ35" s="79"/>
      <c r="AR35" s="79">
        <v>92</v>
      </c>
      <c r="AS35" s="67" t="s">
        <v>150</v>
      </c>
      <c r="AT35" s="67"/>
      <c r="AU35" s="67"/>
      <c r="AV35" s="82">
        <v>0</v>
      </c>
      <c r="AW35" s="79"/>
      <c r="AX35" s="82" t="s">
        <v>650</v>
      </c>
      <c r="AY35" s="82"/>
      <c r="AZ35" s="79">
        <v>70</v>
      </c>
      <c r="BA35" s="82"/>
      <c r="BB35" s="82">
        <v>0</v>
      </c>
      <c r="BC35" s="79"/>
      <c r="BD35" s="82" t="s">
        <v>650</v>
      </c>
      <c r="BE35" s="79"/>
      <c r="BF35" s="79">
        <v>71</v>
      </c>
      <c r="BG35" s="327"/>
      <c r="BH35" s="327"/>
      <c r="BI35" s="327"/>
      <c r="BJ35" s="327"/>
      <c r="BK35" s="327"/>
      <c r="BL35" s="327"/>
      <c r="BM35" s="247" t="s">
        <v>797</v>
      </c>
    </row>
    <row r="36" spans="1:65" s="85" customFormat="1" ht="22.5" x14ac:dyDescent="0.2">
      <c r="A36" s="84"/>
      <c r="B36" s="257"/>
      <c r="C36" s="84"/>
      <c r="D36" s="79">
        <v>224</v>
      </c>
      <c r="E36" s="79"/>
      <c r="F36" s="80" t="s">
        <v>151</v>
      </c>
      <c r="G36" s="79"/>
      <c r="H36" s="80" t="s">
        <v>139</v>
      </c>
      <c r="I36" s="79"/>
      <c r="J36" s="225">
        <v>300</v>
      </c>
      <c r="K36" s="79"/>
      <c r="L36" s="80" t="s">
        <v>54</v>
      </c>
      <c r="M36" s="79"/>
      <c r="N36" s="79" t="s">
        <v>55</v>
      </c>
      <c r="O36" s="79"/>
      <c r="P36" s="84"/>
      <c r="Q36" s="67">
        <v>905</v>
      </c>
      <c r="R36" s="79">
        <v>10</v>
      </c>
      <c r="S36" s="79"/>
      <c r="T36" s="81">
        <v>0</v>
      </c>
      <c r="U36" s="79"/>
      <c r="V36" s="82">
        <v>3010</v>
      </c>
      <c r="W36" s="79"/>
      <c r="X36" s="79">
        <v>29</v>
      </c>
      <c r="Y36" s="79"/>
      <c r="Z36" s="82">
        <v>0</v>
      </c>
      <c r="AA36" s="79"/>
      <c r="AB36" s="82">
        <v>4495</v>
      </c>
      <c r="AC36" s="79"/>
      <c r="AD36" s="82">
        <v>4832</v>
      </c>
      <c r="AE36" s="79"/>
      <c r="AF36" s="79">
        <v>33</v>
      </c>
      <c r="AG36" s="79"/>
      <c r="AH36" s="82">
        <v>0</v>
      </c>
      <c r="AI36" s="79"/>
      <c r="AJ36" s="82">
        <v>6252.21</v>
      </c>
      <c r="AK36" s="82"/>
      <c r="AL36" s="79">
        <v>35</v>
      </c>
      <c r="AM36" s="82"/>
      <c r="AN36" s="82">
        <v>0</v>
      </c>
      <c r="AO36" s="79"/>
      <c r="AP36" s="82">
        <v>2452</v>
      </c>
      <c r="AQ36" s="79"/>
      <c r="AR36" s="79">
        <v>26</v>
      </c>
      <c r="AS36" s="67" t="s">
        <v>152</v>
      </c>
      <c r="AT36" s="67"/>
      <c r="AU36" s="67"/>
      <c r="AV36" s="82">
        <v>0</v>
      </c>
      <c r="AW36" s="79"/>
      <c r="AX36" s="82">
        <v>3955.04</v>
      </c>
      <c r="AY36" s="82"/>
      <c r="AZ36" s="79">
        <v>17</v>
      </c>
      <c r="BA36" s="82"/>
      <c r="BB36" s="82">
        <v>0</v>
      </c>
      <c r="BC36" s="79"/>
      <c r="BD36" s="82">
        <v>3255</v>
      </c>
      <c r="BE36" s="79"/>
      <c r="BF36" s="79">
        <v>12</v>
      </c>
      <c r="BG36" s="79"/>
      <c r="BH36" s="79"/>
      <c r="BI36" s="79"/>
      <c r="BJ36" s="79"/>
      <c r="BK36" s="79"/>
      <c r="BL36" s="79"/>
      <c r="BM36" s="265" t="s">
        <v>797</v>
      </c>
    </row>
    <row r="37" spans="1:65" x14ac:dyDescent="0.2">
      <c r="A37" s="257"/>
      <c r="B37" s="257"/>
      <c r="C37" s="257"/>
      <c r="D37" s="79">
        <v>224</v>
      </c>
      <c r="E37" s="79"/>
      <c r="F37" s="80" t="s">
        <v>90</v>
      </c>
      <c r="G37" s="79"/>
      <c r="H37" s="80" t="s">
        <v>153</v>
      </c>
      <c r="I37" s="79"/>
      <c r="J37" s="225">
        <v>18</v>
      </c>
      <c r="K37" s="79"/>
      <c r="L37" s="80" t="s">
        <v>154</v>
      </c>
      <c r="M37" s="79"/>
      <c r="N37" s="79" t="s">
        <v>55</v>
      </c>
      <c r="O37" s="79"/>
      <c r="P37" s="257"/>
      <c r="Q37" s="56">
        <v>905</v>
      </c>
      <c r="R37" s="79">
        <v>150</v>
      </c>
      <c r="S37" s="79"/>
      <c r="T37" s="81">
        <v>0</v>
      </c>
      <c r="U37" s="79"/>
      <c r="V37" s="82">
        <v>364500</v>
      </c>
      <c r="W37" s="79"/>
      <c r="X37" s="79">
        <v>331</v>
      </c>
      <c r="Y37" s="79"/>
      <c r="Z37" s="82">
        <v>0</v>
      </c>
      <c r="AA37" s="79"/>
      <c r="AB37" s="82">
        <v>442424.41</v>
      </c>
      <c r="AC37" s="79"/>
      <c r="AD37" s="82">
        <v>445196.81</v>
      </c>
      <c r="AE37" s="79"/>
      <c r="AF37" s="79">
        <v>301</v>
      </c>
      <c r="AG37" s="79"/>
      <c r="AH37" s="82">
        <v>0</v>
      </c>
      <c r="AI37" s="79"/>
      <c r="AJ37" s="82">
        <v>463034.28</v>
      </c>
      <c r="AK37" s="82"/>
      <c r="AL37" s="79">
        <v>369</v>
      </c>
      <c r="AM37" s="82"/>
      <c r="AN37" s="82">
        <v>0</v>
      </c>
      <c r="AO37" s="79"/>
      <c r="AP37" s="82">
        <v>473208.99</v>
      </c>
      <c r="AQ37" s="79"/>
      <c r="AR37" s="79">
        <v>382</v>
      </c>
      <c r="AS37" s="56" t="s">
        <v>155</v>
      </c>
      <c r="AT37" s="56"/>
      <c r="AU37" s="56"/>
      <c r="AV37" s="82">
        <v>0</v>
      </c>
      <c r="AW37" s="79"/>
      <c r="AX37" s="82">
        <v>573941.73</v>
      </c>
      <c r="AY37" s="82"/>
      <c r="AZ37" s="79">
        <v>403</v>
      </c>
      <c r="BA37" s="82"/>
      <c r="BB37" s="82">
        <v>0</v>
      </c>
      <c r="BC37" s="79"/>
      <c r="BD37" s="82">
        <v>607399.26</v>
      </c>
      <c r="BE37" s="79"/>
      <c r="BF37" s="79">
        <v>402</v>
      </c>
      <c r="BG37" s="327"/>
      <c r="BH37" s="327"/>
      <c r="BI37" s="327"/>
      <c r="BJ37" s="327"/>
      <c r="BK37" s="327"/>
      <c r="BL37" s="327"/>
      <c r="BM37" s="247" t="s">
        <v>797</v>
      </c>
    </row>
    <row r="38" spans="1:65" s="85" customFormat="1" x14ac:dyDescent="0.2">
      <c r="A38" s="84"/>
      <c r="B38" s="257"/>
      <c r="C38" s="84"/>
      <c r="D38" s="79">
        <v>224</v>
      </c>
      <c r="E38" s="79"/>
      <c r="F38" s="80" t="s">
        <v>156</v>
      </c>
      <c r="G38" s="79"/>
      <c r="H38" s="80" t="s">
        <v>157</v>
      </c>
      <c r="I38" s="79"/>
      <c r="J38" s="225">
        <v>4</v>
      </c>
      <c r="K38" s="79"/>
      <c r="L38" s="80" t="s">
        <v>154</v>
      </c>
      <c r="M38" s="79"/>
      <c r="N38" s="79" t="s">
        <v>55</v>
      </c>
      <c r="O38" s="79"/>
      <c r="P38" s="84"/>
      <c r="Q38" s="67">
        <v>905</v>
      </c>
      <c r="R38" s="79">
        <v>20</v>
      </c>
      <c r="S38" s="79"/>
      <c r="T38" s="81">
        <v>0</v>
      </c>
      <c r="U38" s="79"/>
      <c r="V38" s="82">
        <v>2500</v>
      </c>
      <c r="W38" s="79"/>
      <c r="X38" s="79">
        <v>15</v>
      </c>
      <c r="Y38" s="79"/>
      <c r="Z38" s="82">
        <v>0</v>
      </c>
      <c r="AA38" s="79"/>
      <c r="AB38" s="82">
        <v>5400</v>
      </c>
      <c r="AC38" s="79"/>
      <c r="AD38" s="82">
        <v>46744.89</v>
      </c>
      <c r="AE38" s="79"/>
      <c r="AF38" s="79">
        <v>42</v>
      </c>
      <c r="AG38" s="79"/>
      <c r="AH38" s="82">
        <v>0</v>
      </c>
      <c r="AI38" s="79"/>
      <c r="AJ38" s="82">
        <v>51737.1</v>
      </c>
      <c r="AK38" s="82"/>
      <c r="AL38" s="79">
        <v>50</v>
      </c>
      <c r="AM38" s="82"/>
      <c r="AN38" s="82">
        <v>0</v>
      </c>
      <c r="AO38" s="79"/>
      <c r="AP38" s="82">
        <v>24499.37</v>
      </c>
      <c r="AQ38" s="79"/>
      <c r="AR38" s="79">
        <v>34</v>
      </c>
      <c r="AS38" s="67" t="s">
        <v>155</v>
      </c>
      <c r="AT38" s="67"/>
      <c r="AU38" s="67"/>
      <c r="AV38" s="82">
        <v>0</v>
      </c>
      <c r="AW38" s="79"/>
      <c r="AX38" s="82">
        <v>1236</v>
      </c>
      <c r="AY38" s="82"/>
      <c r="AZ38" s="79">
        <v>12</v>
      </c>
      <c r="BA38" s="82"/>
      <c r="BB38" s="82">
        <v>0</v>
      </c>
      <c r="BC38" s="79"/>
      <c r="BD38" s="82">
        <v>2800</v>
      </c>
      <c r="BE38" s="79"/>
      <c r="BF38" s="79">
        <v>31</v>
      </c>
      <c r="BG38" s="327"/>
      <c r="BH38" s="327"/>
      <c r="BI38" s="327"/>
      <c r="BJ38" s="327"/>
      <c r="BK38" s="327"/>
      <c r="BL38" s="327"/>
      <c r="BM38" s="247" t="s">
        <v>797</v>
      </c>
    </row>
    <row r="39" spans="1:65" ht="45" x14ac:dyDescent="0.2">
      <c r="A39" s="257"/>
      <c r="B39" s="257" t="s">
        <v>158</v>
      </c>
      <c r="C39" s="257"/>
      <c r="D39" s="79">
        <v>225</v>
      </c>
      <c r="E39" s="79"/>
      <c r="F39" s="80" t="s">
        <v>159</v>
      </c>
      <c r="G39" s="79"/>
      <c r="H39" s="80" t="s">
        <v>53</v>
      </c>
      <c r="I39" s="79"/>
      <c r="J39" s="225">
        <v>300</v>
      </c>
      <c r="K39" s="79"/>
      <c r="L39" s="80" t="s">
        <v>160</v>
      </c>
      <c r="M39" s="79"/>
      <c r="N39" s="79" t="s">
        <v>55</v>
      </c>
      <c r="O39" s="79"/>
      <c r="P39" s="257"/>
      <c r="Q39" s="56">
        <v>905</v>
      </c>
      <c r="R39" s="86">
        <v>16525</v>
      </c>
      <c r="S39" s="79"/>
      <c r="T39" s="81">
        <v>0</v>
      </c>
      <c r="U39" s="79">
        <v>1861543.95</v>
      </c>
      <c r="V39" s="82">
        <v>1861543.95</v>
      </c>
      <c r="W39" s="79"/>
      <c r="X39" s="79" t="s">
        <v>651</v>
      </c>
      <c r="Y39" s="79"/>
      <c r="Z39" s="82">
        <v>0</v>
      </c>
      <c r="AA39" s="79"/>
      <c r="AB39" s="82">
        <v>1878493</v>
      </c>
      <c r="AC39" s="79"/>
      <c r="AD39" s="82">
        <v>1907780</v>
      </c>
      <c r="AE39" s="79"/>
      <c r="AF39" s="79" t="s">
        <v>697</v>
      </c>
      <c r="AG39" s="79"/>
      <c r="AH39" s="82">
        <v>0</v>
      </c>
      <c r="AI39" s="79"/>
      <c r="AJ39" s="82">
        <v>1910172</v>
      </c>
      <c r="AK39" s="82"/>
      <c r="AL39" s="79">
        <v>18971</v>
      </c>
      <c r="AM39" s="82"/>
      <c r="AN39" s="82">
        <v>0</v>
      </c>
      <c r="AO39" s="79"/>
      <c r="AP39" s="82">
        <v>1972137</v>
      </c>
      <c r="AQ39" s="79"/>
      <c r="AR39" s="79">
        <v>20621</v>
      </c>
      <c r="AS39" s="56" t="s">
        <v>161</v>
      </c>
      <c r="AT39" s="56"/>
      <c r="AU39" s="56" t="s">
        <v>162</v>
      </c>
      <c r="AV39" s="82">
        <v>0</v>
      </c>
      <c r="AW39" s="79"/>
      <c r="AX39" s="82">
        <v>1918398</v>
      </c>
      <c r="AY39" s="82"/>
      <c r="AZ39" s="79">
        <v>19950</v>
      </c>
      <c r="BA39" s="82"/>
      <c r="BB39" s="82">
        <v>0</v>
      </c>
      <c r="BC39" s="79"/>
      <c r="BD39" s="82">
        <v>1886139</v>
      </c>
      <c r="BE39" s="79"/>
      <c r="BF39" s="86">
        <v>19398</v>
      </c>
      <c r="BG39" s="326"/>
      <c r="BH39" s="326"/>
      <c r="BI39" s="326"/>
      <c r="BJ39" s="326"/>
      <c r="BK39" s="326"/>
      <c r="BL39" s="326"/>
      <c r="BM39" s="247" t="s">
        <v>782</v>
      </c>
    </row>
    <row r="40" spans="1:65" ht="33.75" x14ac:dyDescent="0.2">
      <c r="A40" s="257"/>
      <c r="B40" s="257"/>
      <c r="C40" s="257"/>
      <c r="D40" s="87">
        <v>225</v>
      </c>
      <c r="E40" s="257"/>
      <c r="F40" s="88" t="s">
        <v>90</v>
      </c>
      <c r="G40" s="257"/>
      <c r="H40" s="88" t="s">
        <v>53</v>
      </c>
      <c r="I40" s="257"/>
      <c r="J40" s="225">
        <v>16</v>
      </c>
      <c r="K40" s="87"/>
      <c r="L40" s="88" t="s">
        <v>135</v>
      </c>
      <c r="M40" s="87"/>
      <c r="N40" s="87" t="s">
        <v>55</v>
      </c>
      <c r="O40" s="257"/>
      <c r="P40" s="83">
        <v>39995</v>
      </c>
      <c r="Q40" s="56">
        <v>905</v>
      </c>
      <c r="R40" s="87"/>
      <c r="S40" s="87"/>
      <c r="T40" s="87">
        <v>0</v>
      </c>
      <c r="U40" s="87">
        <v>770112</v>
      </c>
      <c r="V40" s="89">
        <v>770112</v>
      </c>
      <c r="W40" s="87"/>
      <c r="X40" s="79"/>
      <c r="Y40" s="87"/>
      <c r="Z40" s="82">
        <v>0</v>
      </c>
      <c r="AA40" s="87"/>
      <c r="AB40" s="82">
        <v>819087.43</v>
      </c>
      <c r="AC40" s="257"/>
      <c r="AD40" s="82">
        <v>1057003</v>
      </c>
      <c r="AE40" s="79"/>
      <c r="AF40" s="79"/>
      <c r="AG40" s="79"/>
      <c r="AH40" s="82">
        <v>0</v>
      </c>
      <c r="AI40" s="79"/>
      <c r="AJ40" s="82">
        <v>873362</v>
      </c>
      <c r="AK40" s="82"/>
      <c r="AL40" s="79"/>
      <c r="AM40" s="82"/>
      <c r="AN40" s="82">
        <v>0</v>
      </c>
      <c r="AO40" s="79"/>
      <c r="AP40" s="82">
        <v>1040023</v>
      </c>
      <c r="AQ40" s="79"/>
      <c r="AR40" s="240">
        <f>AP40/J40</f>
        <v>65001.4375</v>
      </c>
      <c r="AS40" s="56" t="s">
        <v>163</v>
      </c>
      <c r="AT40" s="56"/>
      <c r="AU40" s="56" t="s">
        <v>164</v>
      </c>
      <c r="AV40" s="82">
        <v>0</v>
      </c>
      <c r="AW40" s="79"/>
      <c r="AX40" s="82">
        <v>1031712</v>
      </c>
      <c r="AY40" s="82"/>
      <c r="AZ40" s="79">
        <f>AX40/J40</f>
        <v>64482</v>
      </c>
      <c r="BA40" s="82"/>
      <c r="BB40" s="82">
        <v>0</v>
      </c>
      <c r="BC40" s="79"/>
      <c r="BD40" s="82">
        <v>1128448</v>
      </c>
      <c r="BE40" s="79"/>
      <c r="BF40" s="79">
        <f>BD40/J40</f>
        <v>70528</v>
      </c>
      <c r="BG40" s="79"/>
      <c r="BH40" s="79"/>
      <c r="BI40" s="79"/>
      <c r="BJ40" s="79"/>
      <c r="BK40" s="79"/>
      <c r="BL40" s="79"/>
      <c r="BM40" s="265" t="s">
        <v>797</v>
      </c>
    </row>
    <row r="41" spans="1:65" ht="33.75" x14ac:dyDescent="0.2">
      <c r="A41" s="257"/>
      <c r="B41" s="257"/>
      <c r="C41" s="257"/>
      <c r="D41" s="87">
        <v>225</v>
      </c>
      <c r="E41" s="257"/>
      <c r="F41" s="88" t="s">
        <v>165</v>
      </c>
      <c r="G41" s="257"/>
      <c r="H41" s="88" t="s">
        <v>53</v>
      </c>
      <c r="I41" s="257"/>
      <c r="J41" s="225">
        <v>18</v>
      </c>
      <c r="K41" s="87"/>
      <c r="L41" s="88" t="s">
        <v>135</v>
      </c>
      <c r="M41" s="87"/>
      <c r="N41" s="87" t="s">
        <v>55</v>
      </c>
      <c r="O41" s="257"/>
      <c r="P41" s="83">
        <v>39995</v>
      </c>
      <c r="Q41" s="56">
        <v>905</v>
      </c>
      <c r="R41" s="87"/>
      <c r="S41" s="87"/>
      <c r="T41" s="87">
        <v>0</v>
      </c>
      <c r="U41" s="87">
        <v>182427</v>
      </c>
      <c r="V41" s="89">
        <v>182427</v>
      </c>
      <c r="W41" s="87"/>
      <c r="X41" s="79"/>
      <c r="Y41" s="87"/>
      <c r="Z41" s="82">
        <v>0</v>
      </c>
      <c r="AA41" s="87"/>
      <c r="AB41" s="82">
        <v>373567.57</v>
      </c>
      <c r="AC41" s="257"/>
      <c r="AD41" s="82">
        <v>208881</v>
      </c>
      <c r="AE41" s="79"/>
      <c r="AF41" s="79"/>
      <c r="AG41" s="79"/>
      <c r="AH41" s="82">
        <v>0</v>
      </c>
      <c r="AI41" s="79"/>
      <c r="AJ41" s="82">
        <v>199780</v>
      </c>
      <c r="AK41" s="82"/>
      <c r="AL41" s="79"/>
      <c r="AM41" s="82"/>
      <c r="AN41" s="82">
        <v>0</v>
      </c>
      <c r="AO41" s="79"/>
      <c r="AP41" s="82">
        <v>149266</v>
      </c>
      <c r="AQ41" s="79"/>
      <c r="AR41" s="240">
        <f>AP41/J41</f>
        <v>8292.5555555555547</v>
      </c>
      <c r="AS41" s="56" t="s">
        <v>163</v>
      </c>
      <c r="AT41" s="56"/>
      <c r="AU41" s="56" t="s">
        <v>166</v>
      </c>
      <c r="AV41" s="82">
        <v>0</v>
      </c>
      <c r="AW41" s="79"/>
      <c r="AX41" s="82">
        <v>198607</v>
      </c>
      <c r="AY41" s="82"/>
      <c r="AZ41" s="240">
        <f>AX41/J41</f>
        <v>11033.722222222223</v>
      </c>
      <c r="BA41" s="82"/>
      <c r="BB41" s="82">
        <v>0</v>
      </c>
      <c r="BC41" s="79"/>
      <c r="BD41" s="82">
        <v>224450</v>
      </c>
      <c r="BE41" s="79"/>
      <c r="BF41" s="240">
        <f>BD41/J41</f>
        <v>12469.444444444445</v>
      </c>
      <c r="BG41" s="328"/>
      <c r="BH41" s="328"/>
      <c r="BI41" s="328"/>
      <c r="BJ41" s="328"/>
      <c r="BK41" s="328"/>
      <c r="BL41" s="328"/>
      <c r="BM41" s="247" t="s">
        <v>797</v>
      </c>
    </row>
    <row r="42" spans="1:65" ht="22.5" x14ac:dyDescent="0.2">
      <c r="A42" s="257"/>
      <c r="B42" s="257"/>
      <c r="C42" s="257"/>
      <c r="D42" s="87">
        <v>225</v>
      </c>
      <c r="E42" s="257"/>
      <c r="F42" s="88" t="s">
        <v>167</v>
      </c>
      <c r="G42" s="257"/>
      <c r="H42" s="88" t="s">
        <v>53</v>
      </c>
      <c r="I42" s="257"/>
      <c r="J42" s="225">
        <v>30</v>
      </c>
      <c r="K42" s="87"/>
      <c r="L42" s="88" t="s">
        <v>168</v>
      </c>
      <c r="M42" s="87"/>
      <c r="N42" s="87" t="s">
        <v>55</v>
      </c>
      <c r="O42" s="257"/>
      <c r="P42" s="83">
        <v>37438</v>
      </c>
      <c r="Q42" s="56">
        <v>905</v>
      </c>
      <c r="R42" s="87">
        <v>621</v>
      </c>
      <c r="S42" s="87"/>
      <c r="T42" s="87">
        <v>0</v>
      </c>
      <c r="U42" s="87">
        <v>17774</v>
      </c>
      <c r="V42" s="89">
        <v>17774</v>
      </c>
      <c r="W42" s="87"/>
      <c r="X42" s="79" t="s">
        <v>652</v>
      </c>
      <c r="Y42" s="87"/>
      <c r="Z42" s="82">
        <v>0</v>
      </c>
      <c r="AA42" s="87"/>
      <c r="AB42" s="82">
        <v>20372</v>
      </c>
      <c r="AC42" s="257"/>
      <c r="AD42" s="82">
        <v>20418</v>
      </c>
      <c r="AE42" s="79"/>
      <c r="AF42" s="79">
        <v>687</v>
      </c>
      <c r="AG42" s="79"/>
      <c r="AH42" s="82">
        <v>0</v>
      </c>
      <c r="AI42" s="79"/>
      <c r="AJ42" s="82">
        <v>20110</v>
      </c>
      <c r="AK42" s="82"/>
      <c r="AL42" s="79">
        <v>687</v>
      </c>
      <c r="AM42" s="82"/>
      <c r="AN42" s="82">
        <v>0</v>
      </c>
      <c r="AO42" s="79"/>
      <c r="AP42" s="82">
        <v>20390</v>
      </c>
      <c r="AQ42" s="79"/>
      <c r="AR42" s="79">
        <v>710</v>
      </c>
      <c r="AS42" s="56" t="s">
        <v>169</v>
      </c>
      <c r="AT42" s="56"/>
      <c r="AU42" s="56" t="s">
        <v>170</v>
      </c>
      <c r="AV42" s="82">
        <v>0</v>
      </c>
      <c r="AW42" s="79"/>
      <c r="AX42" s="82">
        <v>18396</v>
      </c>
      <c r="AY42" s="82"/>
      <c r="AZ42" s="79">
        <v>647</v>
      </c>
      <c r="BA42" s="82"/>
      <c r="BB42" s="82">
        <v>0</v>
      </c>
      <c r="BC42" s="79"/>
      <c r="BD42" s="82">
        <v>23002</v>
      </c>
      <c r="BE42" s="79"/>
      <c r="BF42" s="79">
        <v>765</v>
      </c>
      <c r="BG42" s="79"/>
      <c r="BH42" s="79"/>
      <c r="BI42" s="79"/>
      <c r="BJ42" s="79"/>
      <c r="BK42" s="79"/>
      <c r="BL42" s="79"/>
      <c r="BM42" s="265" t="s">
        <v>797</v>
      </c>
    </row>
    <row r="43" spans="1:65" ht="33.75" x14ac:dyDescent="0.2">
      <c r="A43" s="257"/>
      <c r="B43" s="257"/>
      <c r="C43" s="257"/>
      <c r="D43" s="87">
        <v>225</v>
      </c>
      <c r="E43" s="257"/>
      <c r="F43" s="88" t="s">
        <v>171</v>
      </c>
      <c r="G43" s="257"/>
      <c r="H43" s="88" t="s">
        <v>53</v>
      </c>
      <c r="I43" s="257"/>
      <c r="J43" s="225">
        <v>6</v>
      </c>
      <c r="K43" s="87"/>
      <c r="L43" s="88" t="s">
        <v>80</v>
      </c>
      <c r="M43" s="87"/>
      <c r="N43" s="87" t="s">
        <v>55</v>
      </c>
      <c r="O43" s="257"/>
      <c r="P43" s="83">
        <v>39995</v>
      </c>
      <c r="Q43" s="56">
        <v>905</v>
      </c>
      <c r="R43" s="87">
        <v>692</v>
      </c>
      <c r="S43" s="87"/>
      <c r="T43" s="87">
        <v>0</v>
      </c>
      <c r="U43" s="87">
        <v>4125</v>
      </c>
      <c r="V43" s="89">
        <v>4125</v>
      </c>
      <c r="W43" s="87"/>
      <c r="X43" s="79" t="s">
        <v>653</v>
      </c>
      <c r="Y43" s="87"/>
      <c r="Z43" s="82">
        <v>0</v>
      </c>
      <c r="AA43" s="87"/>
      <c r="AB43" s="82">
        <v>44249.82</v>
      </c>
      <c r="AC43" s="257"/>
      <c r="AD43" s="82">
        <v>57355</v>
      </c>
      <c r="AE43" s="79"/>
      <c r="AF43" s="79">
        <v>9319</v>
      </c>
      <c r="AG43" s="79"/>
      <c r="AH43" s="82">
        <v>0</v>
      </c>
      <c r="AI43" s="79"/>
      <c r="AJ43" s="82">
        <v>60019</v>
      </c>
      <c r="AK43" s="82"/>
      <c r="AL43" s="79">
        <v>10056</v>
      </c>
      <c r="AM43" s="82"/>
      <c r="AN43" s="82">
        <v>0</v>
      </c>
      <c r="AO43" s="79"/>
      <c r="AP43" s="82">
        <v>67379</v>
      </c>
      <c r="AQ43" s="79"/>
      <c r="AR43" s="79">
        <v>11353</v>
      </c>
      <c r="AS43" s="56" t="s">
        <v>172</v>
      </c>
      <c r="AT43" s="56"/>
      <c r="AU43" s="56" t="s">
        <v>170</v>
      </c>
      <c r="AV43" s="82">
        <v>0</v>
      </c>
      <c r="AW43" s="79"/>
      <c r="AX43" s="82">
        <v>65061</v>
      </c>
      <c r="AY43" s="82"/>
      <c r="AZ43" s="79">
        <v>10418</v>
      </c>
      <c r="BA43" s="82"/>
      <c r="BB43" s="82">
        <v>0</v>
      </c>
      <c r="BC43" s="79"/>
      <c r="BD43" s="82">
        <v>71774</v>
      </c>
      <c r="BE43" s="79"/>
      <c r="BF43" s="79">
        <v>11670</v>
      </c>
      <c r="BG43" s="327"/>
      <c r="BH43" s="327"/>
      <c r="BI43" s="327"/>
      <c r="BJ43" s="327"/>
      <c r="BK43" s="327"/>
      <c r="BL43" s="327"/>
      <c r="BM43" s="247" t="s">
        <v>797</v>
      </c>
    </row>
    <row r="44" spans="1:65" ht="22.5" x14ac:dyDescent="0.2">
      <c r="A44" s="257"/>
      <c r="B44" s="257"/>
      <c r="C44" s="257"/>
      <c r="D44" s="87">
        <v>225</v>
      </c>
      <c r="E44" s="257"/>
      <c r="F44" s="88" t="s">
        <v>173</v>
      </c>
      <c r="G44" s="257"/>
      <c r="H44" s="88" t="s">
        <v>53</v>
      </c>
      <c r="I44" s="257"/>
      <c r="J44" s="225">
        <v>20</v>
      </c>
      <c r="K44" s="87"/>
      <c r="L44" s="88" t="s">
        <v>174</v>
      </c>
      <c r="M44" s="87"/>
      <c r="N44" s="87" t="s">
        <v>55</v>
      </c>
      <c r="O44" s="257"/>
      <c r="P44" s="83">
        <v>39630</v>
      </c>
      <c r="Q44" s="56">
        <v>905</v>
      </c>
      <c r="R44" s="87">
        <v>281</v>
      </c>
      <c r="S44" s="87"/>
      <c r="T44" s="87">
        <v>0</v>
      </c>
      <c r="U44" s="87">
        <v>5454</v>
      </c>
      <c r="V44" s="89">
        <v>5454</v>
      </c>
      <c r="W44" s="87"/>
      <c r="X44" s="79" t="s">
        <v>654</v>
      </c>
      <c r="Y44" s="87"/>
      <c r="Z44" s="82">
        <v>0</v>
      </c>
      <c r="AA44" s="87"/>
      <c r="AB44" s="82">
        <v>4146.32</v>
      </c>
      <c r="AC44" s="257"/>
      <c r="AD44" s="82">
        <v>3151</v>
      </c>
      <c r="AE44" s="79"/>
      <c r="AF44" s="79">
        <v>247</v>
      </c>
      <c r="AG44" s="79"/>
      <c r="AH44" s="82">
        <v>0</v>
      </c>
      <c r="AI44" s="79"/>
      <c r="AJ44" s="82">
        <v>2771</v>
      </c>
      <c r="AK44" s="82"/>
      <c r="AL44" s="79">
        <v>217</v>
      </c>
      <c r="AM44" s="82"/>
      <c r="AN44" s="82">
        <v>0</v>
      </c>
      <c r="AO44" s="79"/>
      <c r="AP44" s="82">
        <v>3144</v>
      </c>
      <c r="AQ44" s="79"/>
      <c r="AR44" s="79">
        <v>249</v>
      </c>
      <c r="AS44" s="56" t="s">
        <v>175</v>
      </c>
      <c r="AT44" s="56"/>
      <c r="AU44" s="56" t="s">
        <v>170</v>
      </c>
      <c r="AV44" s="82">
        <v>0</v>
      </c>
      <c r="AW44" s="79"/>
      <c r="AX44" s="82">
        <v>3430</v>
      </c>
      <c r="AY44" s="82"/>
      <c r="AZ44" s="79">
        <v>256</v>
      </c>
      <c r="BA44" s="82"/>
      <c r="BB44" s="82">
        <v>0</v>
      </c>
      <c r="BC44" s="79"/>
      <c r="BD44" s="82">
        <v>3569</v>
      </c>
      <c r="BE44" s="79"/>
      <c r="BF44" s="79">
        <v>255</v>
      </c>
      <c r="BG44" s="79"/>
      <c r="BH44" s="79"/>
      <c r="BI44" s="79"/>
      <c r="BJ44" s="79"/>
      <c r="BK44" s="79"/>
      <c r="BL44" s="79"/>
      <c r="BM44" s="265" t="s">
        <v>797</v>
      </c>
    </row>
    <row r="45" spans="1:65" ht="22.5" x14ac:dyDescent="0.2">
      <c r="A45" s="257"/>
      <c r="B45" s="257"/>
      <c r="C45" s="257"/>
      <c r="D45" s="87">
        <v>225</v>
      </c>
      <c r="E45" s="257"/>
      <c r="F45" s="88" t="s">
        <v>176</v>
      </c>
      <c r="G45" s="257"/>
      <c r="H45" s="88" t="s">
        <v>53</v>
      </c>
      <c r="I45" s="257"/>
      <c r="J45" s="225">
        <v>0.75</v>
      </c>
      <c r="K45" s="87"/>
      <c r="L45" s="88" t="s">
        <v>174</v>
      </c>
      <c r="M45" s="87"/>
      <c r="N45" s="87" t="s">
        <v>55</v>
      </c>
      <c r="O45" s="257"/>
      <c r="P45" s="83">
        <v>39995</v>
      </c>
      <c r="Q45" s="56">
        <v>905</v>
      </c>
      <c r="R45" s="87">
        <v>130</v>
      </c>
      <c r="S45" s="87"/>
      <c r="T45" s="87">
        <v>0</v>
      </c>
      <c r="U45" s="87">
        <v>97</v>
      </c>
      <c r="V45" s="89">
        <v>97</v>
      </c>
      <c r="W45" s="87"/>
      <c r="X45" s="79" t="s">
        <v>655</v>
      </c>
      <c r="Y45" s="87"/>
      <c r="Z45" s="82">
        <v>0</v>
      </c>
      <c r="AA45" s="87"/>
      <c r="AB45" s="82">
        <v>67.25</v>
      </c>
      <c r="AC45" s="257"/>
      <c r="AD45" s="82">
        <v>130</v>
      </c>
      <c r="AE45" s="79"/>
      <c r="AF45" s="79">
        <v>173</v>
      </c>
      <c r="AG45" s="79"/>
      <c r="AH45" s="82">
        <v>0</v>
      </c>
      <c r="AI45" s="79"/>
      <c r="AJ45" s="82">
        <v>92</v>
      </c>
      <c r="AK45" s="82"/>
      <c r="AL45" s="79">
        <v>123</v>
      </c>
      <c r="AM45" s="82"/>
      <c r="AN45" s="82">
        <v>0</v>
      </c>
      <c r="AO45" s="79"/>
      <c r="AP45" s="82">
        <v>132</v>
      </c>
      <c r="AQ45" s="79"/>
      <c r="AR45" s="79">
        <v>176</v>
      </c>
      <c r="AS45" s="56" t="s">
        <v>177</v>
      </c>
      <c r="AT45" s="56"/>
      <c r="AU45" s="56" t="s">
        <v>170</v>
      </c>
      <c r="AV45" s="82">
        <v>0</v>
      </c>
      <c r="AW45" s="79"/>
      <c r="AX45" s="82">
        <v>120</v>
      </c>
      <c r="AY45" s="82"/>
      <c r="AZ45" s="79">
        <v>160</v>
      </c>
      <c r="BA45" s="82"/>
      <c r="BB45" s="82">
        <v>0</v>
      </c>
      <c r="BC45" s="79"/>
      <c r="BD45" s="82">
        <v>170</v>
      </c>
      <c r="BE45" s="79"/>
      <c r="BF45" s="79">
        <v>230</v>
      </c>
      <c r="BG45" s="327"/>
      <c r="BH45" s="327"/>
      <c r="BI45" s="327"/>
      <c r="BJ45" s="327"/>
      <c r="BK45" s="327"/>
      <c r="BL45" s="327"/>
      <c r="BM45" s="247" t="s">
        <v>797</v>
      </c>
    </row>
    <row r="46" spans="1:65" ht="33.75" x14ac:dyDescent="0.2">
      <c r="A46" s="257"/>
      <c r="B46" s="257"/>
      <c r="C46" s="257"/>
      <c r="D46" s="87">
        <v>225</v>
      </c>
      <c r="E46" s="257"/>
      <c r="F46" s="88" t="s">
        <v>178</v>
      </c>
      <c r="G46" s="257"/>
      <c r="H46" s="88" t="s">
        <v>53</v>
      </c>
      <c r="I46" s="257"/>
      <c r="J46" s="225">
        <v>7</v>
      </c>
      <c r="K46" s="87"/>
      <c r="L46" s="88" t="s">
        <v>174</v>
      </c>
      <c r="M46" s="87"/>
      <c r="N46" s="87" t="s">
        <v>55</v>
      </c>
      <c r="O46" s="257"/>
      <c r="P46" s="83">
        <v>39995</v>
      </c>
      <c r="Q46" s="56">
        <v>905</v>
      </c>
      <c r="R46" s="87">
        <v>408</v>
      </c>
      <c r="S46" s="87"/>
      <c r="T46" s="87">
        <v>0</v>
      </c>
      <c r="U46" s="87">
        <v>2835</v>
      </c>
      <c r="V46" s="89">
        <v>2835</v>
      </c>
      <c r="W46" s="87"/>
      <c r="X46" s="79" t="s">
        <v>656</v>
      </c>
      <c r="Y46" s="87"/>
      <c r="Z46" s="82">
        <v>0</v>
      </c>
      <c r="AA46" s="87"/>
      <c r="AB46" s="82">
        <v>3402.57</v>
      </c>
      <c r="AC46" s="257"/>
      <c r="AD46" s="82">
        <v>3270</v>
      </c>
      <c r="AE46" s="79"/>
      <c r="AF46" s="79">
        <v>502</v>
      </c>
      <c r="AG46" s="79"/>
      <c r="AH46" s="82">
        <v>0</v>
      </c>
      <c r="AI46" s="79"/>
      <c r="AJ46" s="82">
        <v>3541</v>
      </c>
      <c r="AK46" s="82"/>
      <c r="AL46" s="79">
        <v>516</v>
      </c>
      <c r="AM46" s="82"/>
      <c r="AN46" s="82">
        <v>0</v>
      </c>
      <c r="AO46" s="79"/>
      <c r="AP46" s="82">
        <v>3600</v>
      </c>
      <c r="AQ46" s="79"/>
      <c r="AR46" s="79">
        <v>522</v>
      </c>
      <c r="AS46" s="56" t="s">
        <v>179</v>
      </c>
      <c r="AT46" s="56"/>
      <c r="AU46" s="56" t="s">
        <v>170</v>
      </c>
      <c r="AV46" s="82">
        <v>0</v>
      </c>
      <c r="AW46" s="79"/>
      <c r="AX46" s="82">
        <v>3164</v>
      </c>
      <c r="AY46" s="82"/>
      <c r="AZ46" s="79">
        <v>452</v>
      </c>
      <c r="BA46" s="82"/>
      <c r="BB46" s="82">
        <v>0</v>
      </c>
      <c r="BC46" s="79"/>
      <c r="BD46" s="82">
        <v>3979</v>
      </c>
      <c r="BE46" s="79"/>
      <c r="BF46" s="79">
        <v>568</v>
      </c>
      <c r="BG46" s="79"/>
      <c r="BH46" s="79"/>
      <c r="BI46" s="79"/>
      <c r="BJ46" s="79"/>
      <c r="BK46" s="79"/>
      <c r="BL46" s="79"/>
      <c r="BM46" s="265" t="s">
        <v>797</v>
      </c>
    </row>
    <row r="47" spans="1:65" ht="22.5" x14ac:dyDescent="0.2">
      <c r="A47" s="257"/>
      <c r="B47" s="257"/>
      <c r="C47" s="257"/>
      <c r="D47" s="87">
        <v>225</v>
      </c>
      <c r="E47" s="257"/>
      <c r="F47" s="88" t="s">
        <v>180</v>
      </c>
      <c r="G47" s="257"/>
      <c r="H47" s="88" t="s">
        <v>53</v>
      </c>
      <c r="I47" s="257"/>
      <c r="J47" s="225">
        <v>35</v>
      </c>
      <c r="K47" s="87"/>
      <c r="L47" s="88" t="s">
        <v>168</v>
      </c>
      <c r="M47" s="87"/>
      <c r="N47" s="87" t="s">
        <v>55</v>
      </c>
      <c r="O47" s="257"/>
      <c r="P47" s="83">
        <v>37438</v>
      </c>
      <c r="Q47" s="56">
        <v>905</v>
      </c>
      <c r="R47" s="87">
        <v>33</v>
      </c>
      <c r="S47" s="87"/>
      <c r="T47" s="87">
        <v>0</v>
      </c>
      <c r="U47" s="87">
        <v>960</v>
      </c>
      <c r="V47" s="89">
        <v>960</v>
      </c>
      <c r="W47" s="87"/>
      <c r="X47" s="79" t="s">
        <v>657</v>
      </c>
      <c r="Y47" s="87"/>
      <c r="Z47" s="82">
        <v>0</v>
      </c>
      <c r="AA47" s="87"/>
      <c r="AB47" s="82">
        <v>1295</v>
      </c>
      <c r="AC47" s="257"/>
      <c r="AD47" s="82">
        <v>2560</v>
      </c>
      <c r="AE47" s="79"/>
      <c r="AF47" s="79" t="s">
        <v>688</v>
      </c>
      <c r="AG47" s="79"/>
      <c r="AH47" s="82">
        <v>0</v>
      </c>
      <c r="AI47" s="79"/>
      <c r="AJ47" s="82">
        <v>2124</v>
      </c>
      <c r="AK47" s="82"/>
      <c r="AL47" s="79">
        <v>64</v>
      </c>
      <c r="AM47" s="82"/>
      <c r="AN47" s="82">
        <v>0</v>
      </c>
      <c r="AO47" s="79"/>
      <c r="AP47" s="82">
        <v>1910</v>
      </c>
      <c r="AQ47" s="79"/>
      <c r="AR47" s="79">
        <v>60</v>
      </c>
      <c r="AS47" s="56" t="s">
        <v>181</v>
      </c>
      <c r="AT47" s="56"/>
      <c r="AU47" s="56" t="s">
        <v>170</v>
      </c>
      <c r="AV47" s="82">
        <v>0</v>
      </c>
      <c r="AW47" s="79"/>
      <c r="AX47" s="82">
        <v>2248</v>
      </c>
      <c r="AY47" s="82"/>
      <c r="AZ47" s="79">
        <v>71</v>
      </c>
      <c r="BA47" s="82"/>
      <c r="BB47" s="82">
        <v>0</v>
      </c>
      <c r="BC47" s="79"/>
      <c r="BD47" s="82">
        <v>3890</v>
      </c>
      <c r="BE47" s="79"/>
      <c r="BF47" s="79">
        <v>123</v>
      </c>
      <c r="BG47" s="327"/>
      <c r="BH47" s="327"/>
      <c r="BI47" s="327"/>
      <c r="BJ47" s="327"/>
      <c r="BK47" s="327"/>
      <c r="BL47" s="327"/>
      <c r="BM47" s="247" t="s">
        <v>797</v>
      </c>
    </row>
    <row r="48" spans="1:65" ht="22.5" x14ac:dyDescent="0.2">
      <c r="A48" s="257"/>
      <c r="B48" s="257"/>
      <c r="C48" s="257"/>
      <c r="D48" s="87">
        <v>225</v>
      </c>
      <c r="E48" s="257"/>
      <c r="F48" s="88" t="s">
        <v>182</v>
      </c>
      <c r="G48" s="257"/>
      <c r="H48" s="88" t="s">
        <v>53</v>
      </c>
      <c r="I48" s="257"/>
      <c r="J48" s="225">
        <v>20</v>
      </c>
      <c r="K48" s="87"/>
      <c r="L48" s="88" t="s">
        <v>80</v>
      </c>
      <c r="M48" s="87"/>
      <c r="N48" s="87" t="s">
        <v>55</v>
      </c>
      <c r="O48" s="257"/>
      <c r="P48" s="83">
        <v>38534</v>
      </c>
      <c r="Q48" s="56">
        <v>905</v>
      </c>
      <c r="R48" s="90">
        <v>7590</v>
      </c>
      <c r="S48" s="87"/>
      <c r="T48" s="87">
        <v>0</v>
      </c>
      <c r="U48" s="87">
        <v>151306</v>
      </c>
      <c r="V48" s="89">
        <v>151306</v>
      </c>
      <c r="W48" s="87"/>
      <c r="X48" s="79" t="s">
        <v>658</v>
      </c>
      <c r="Y48" s="87"/>
      <c r="Z48" s="82">
        <v>0</v>
      </c>
      <c r="AA48" s="87"/>
      <c r="AB48" s="82">
        <v>116764.3</v>
      </c>
      <c r="AC48" s="257"/>
      <c r="AD48" s="82">
        <v>135345</v>
      </c>
      <c r="AE48" s="79"/>
      <c r="AF48" s="79" t="s">
        <v>689</v>
      </c>
      <c r="AG48" s="79"/>
      <c r="AH48" s="82">
        <v>0</v>
      </c>
      <c r="AI48" s="79"/>
      <c r="AJ48" s="82">
        <v>147540</v>
      </c>
      <c r="AK48" s="82"/>
      <c r="AL48" s="79">
        <v>7532</v>
      </c>
      <c r="AM48" s="82"/>
      <c r="AN48" s="82">
        <v>0</v>
      </c>
      <c r="AO48" s="79"/>
      <c r="AP48" s="82">
        <v>180114</v>
      </c>
      <c r="AQ48" s="79"/>
      <c r="AR48" s="79">
        <v>8954</v>
      </c>
      <c r="AS48" s="56" t="s">
        <v>183</v>
      </c>
      <c r="AT48" s="56"/>
      <c r="AU48" s="56" t="s">
        <v>170</v>
      </c>
      <c r="AV48" s="82">
        <v>0</v>
      </c>
      <c r="AW48" s="79"/>
      <c r="AX48" s="82">
        <v>214125</v>
      </c>
      <c r="AY48" s="82"/>
      <c r="AZ48" s="79">
        <v>9968</v>
      </c>
      <c r="BA48" s="82"/>
      <c r="BB48" s="82">
        <v>0</v>
      </c>
      <c r="BC48" s="79"/>
      <c r="BD48" s="82">
        <v>261591</v>
      </c>
      <c r="BE48" s="79"/>
      <c r="BF48" s="79">
        <v>10195</v>
      </c>
      <c r="BG48" s="79"/>
      <c r="BH48" s="79"/>
      <c r="BI48" s="79"/>
      <c r="BJ48" s="79"/>
      <c r="BK48" s="79"/>
      <c r="BL48" s="79"/>
      <c r="BM48" s="265" t="s">
        <v>797</v>
      </c>
    </row>
    <row r="49" spans="1:65" ht="22.5" x14ac:dyDescent="0.2">
      <c r="A49" s="257"/>
      <c r="B49" s="257"/>
      <c r="C49" s="257"/>
      <c r="D49" s="87">
        <v>225</v>
      </c>
      <c r="E49" s="257"/>
      <c r="F49" s="88" t="s">
        <v>184</v>
      </c>
      <c r="G49" s="257"/>
      <c r="H49" s="88" t="s">
        <v>53</v>
      </c>
      <c r="I49" s="257"/>
      <c r="J49" s="225">
        <v>80</v>
      </c>
      <c r="K49" s="87"/>
      <c r="L49" s="88" t="s">
        <v>168</v>
      </c>
      <c r="M49" s="87"/>
      <c r="N49" s="87" t="s">
        <v>55</v>
      </c>
      <c r="O49" s="257"/>
      <c r="P49" s="83">
        <v>38534</v>
      </c>
      <c r="Q49" s="56">
        <v>905</v>
      </c>
      <c r="R49" s="87">
        <v>317</v>
      </c>
      <c r="S49" s="87"/>
      <c r="T49" s="87">
        <v>0</v>
      </c>
      <c r="U49" s="87">
        <v>24515</v>
      </c>
      <c r="V49" s="89">
        <v>24515</v>
      </c>
      <c r="W49" s="87"/>
      <c r="X49" s="79" t="s">
        <v>659</v>
      </c>
      <c r="Y49" s="87"/>
      <c r="Z49" s="82">
        <v>0</v>
      </c>
      <c r="AA49" s="87"/>
      <c r="AB49" s="82">
        <v>22153.91</v>
      </c>
      <c r="AC49" s="257"/>
      <c r="AD49" s="82">
        <v>29130</v>
      </c>
      <c r="AE49" s="79"/>
      <c r="AF49" s="79" t="s">
        <v>690</v>
      </c>
      <c r="AG49" s="79"/>
      <c r="AH49" s="82">
        <v>0</v>
      </c>
      <c r="AI49" s="79"/>
      <c r="AJ49" s="82">
        <v>33073</v>
      </c>
      <c r="AK49" s="82"/>
      <c r="AL49" s="79">
        <v>616</v>
      </c>
      <c r="AM49" s="82"/>
      <c r="AN49" s="82">
        <v>0</v>
      </c>
      <c r="AO49" s="79"/>
      <c r="AP49" s="82">
        <v>35565</v>
      </c>
      <c r="AQ49" s="79"/>
      <c r="AR49" s="79">
        <v>682</v>
      </c>
      <c r="AS49" s="56" t="s">
        <v>183</v>
      </c>
      <c r="AT49" s="56"/>
      <c r="AU49" s="56" t="s">
        <v>170</v>
      </c>
      <c r="AV49" s="82">
        <v>0</v>
      </c>
      <c r="AW49" s="79"/>
      <c r="AX49" s="82">
        <v>26945</v>
      </c>
      <c r="AY49" s="82"/>
      <c r="AZ49" s="79">
        <v>654</v>
      </c>
      <c r="BA49" s="82"/>
      <c r="BB49" s="82">
        <v>0</v>
      </c>
      <c r="BC49" s="79"/>
      <c r="BD49" s="82">
        <v>7490</v>
      </c>
      <c r="BE49" s="79"/>
      <c r="BF49" s="79">
        <v>379</v>
      </c>
      <c r="BG49" s="327"/>
      <c r="BH49" s="327"/>
      <c r="BI49" s="327"/>
      <c r="BJ49" s="327"/>
      <c r="BK49" s="327"/>
      <c r="BL49" s="327"/>
      <c r="BM49" s="247" t="s">
        <v>797</v>
      </c>
    </row>
    <row r="50" spans="1:65" ht="33.75" x14ac:dyDescent="0.2">
      <c r="A50" s="257"/>
      <c r="B50" s="257"/>
      <c r="C50" s="257"/>
      <c r="D50" s="87">
        <v>225</v>
      </c>
      <c r="E50" s="257"/>
      <c r="F50" s="88" t="s">
        <v>185</v>
      </c>
      <c r="G50" s="257"/>
      <c r="H50" s="88" t="s">
        <v>53</v>
      </c>
      <c r="I50" s="257"/>
      <c r="J50" s="225">
        <v>180</v>
      </c>
      <c r="K50" s="87"/>
      <c r="L50" s="88" t="s">
        <v>186</v>
      </c>
      <c r="M50" s="87"/>
      <c r="N50" s="87" t="s">
        <v>55</v>
      </c>
      <c r="O50" s="257"/>
      <c r="P50" s="83">
        <v>37438</v>
      </c>
      <c r="Q50" s="56">
        <v>905</v>
      </c>
      <c r="R50" s="87">
        <v>341</v>
      </c>
      <c r="S50" s="87"/>
      <c r="T50" s="87">
        <v>0</v>
      </c>
      <c r="U50" s="87">
        <v>23111</v>
      </c>
      <c r="V50" s="89">
        <v>23111</v>
      </c>
      <c r="W50" s="87"/>
      <c r="X50" s="79" t="s">
        <v>660</v>
      </c>
      <c r="Y50" s="87"/>
      <c r="Z50" s="82">
        <v>0</v>
      </c>
      <c r="AA50" s="87"/>
      <c r="AB50" s="82">
        <v>19350.97</v>
      </c>
      <c r="AC50" s="257"/>
      <c r="AD50" s="82">
        <v>20799</v>
      </c>
      <c r="AE50" s="79"/>
      <c r="AF50" s="79" t="s">
        <v>691</v>
      </c>
      <c r="AG50" s="79"/>
      <c r="AH50" s="82">
        <v>0</v>
      </c>
      <c r="AI50" s="79"/>
      <c r="AJ50" s="82">
        <v>19963</v>
      </c>
      <c r="AK50" s="82"/>
      <c r="AL50" s="79">
        <v>321</v>
      </c>
      <c r="AM50" s="82"/>
      <c r="AN50" s="82">
        <v>0</v>
      </c>
      <c r="AO50" s="79"/>
      <c r="AP50" s="82">
        <v>22540</v>
      </c>
      <c r="AQ50" s="79"/>
      <c r="AR50" s="79">
        <v>400</v>
      </c>
      <c r="AS50" s="56" t="s">
        <v>187</v>
      </c>
      <c r="AT50" s="56"/>
      <c r="AU50" s="56" t="s">
        <v>170</v>
      </c>
      <c r="AV50" s="82">
        <v>0</v>
      </c>
      <c r="AW50" s="79"/>
      <c r="AX50" s="82">
        <v>21726</v>
      </c>
      <c r="AY50" s="82"/>
      <c r="AZ50" s="79">
        <v>379</v>
      </c>
      <c r="BA50" s="82"/>
      <c r="BB50" s="82">
        <v>0</v>
      </c>
      <c r="BC50" s="79"/>
      <c r="BD50" s="82">
        <v>20021</v>
      </c>
      <c r="BE50" s="79"/>
      <c r="BF50" s="79">
        <v>246</v>
      </c>
      <c r="BG50" s="79"/>
      <c r="BH50" s="79"/>
      <c r="BI50" s="79"/>
      <c r="BJ50" s="79"/>
      <c r="BK50" s="79"/>
      <c r="BL50" s="79"/>
      <c r="BM50" s="265" t="s">
        <v>797</v>
      </c>
    </row>
    <row r="51" spans="1:65" ht="33.75" x14ac:dyDescent="0.2">
      <c r="A51" s="257"/>
      <c r="B51" s="257"/>
      <c r="C51" s="257"/>
      <c r="D51" s="87">
        <v>225</v>
      </c>
      <c r="E51" s="257"/>
      <c r="F51" s="88" t="s">
        <v>188</v>
      </c>
      <c r="G51" s="257"/>
      <c r="H51" s="88" t="s">
        <v>53</v>
      </c>
      <c r="I51" s="257"/>
      <c r="J51" s="225">
        <v>10</v>
      </c>
      <c r="K51" s="87"/>
      <c r="L51" s="88" t="s">
        <v>80</v>
      </c>
      <c r="M51" s="87"/>
      <c r="N51" s="87" t="s">
        <v>55</v>
      </c>
      <c r="O51" s="257"/>
      <c r="P51" s="83">
        <v>39630</v>
      </c>
      <c r="Q51" s="56">
        <v>905</v>
      </c>
      <c r="R51" s="90">
        <v>2578</v>
      </c>
      <c r="S51" s="87"/>
      <c r="T51" s="87">
        <v>0</v>
      </c>
      <c r="U51" s="87">
        <v>26959</v>
      </c>
      <c r="V51" s="89">
        <v>26959</v>
      </c>
      <c r="W51" s="87"/>
      <c r="X51" s="79" t="s">
        <v>661</v>
      </c>
      <c r="Y51" s="87"/>
      <c r="Z51" s="82">
        <v>0</v>
      </c>
      <c r="AA51" s="87"/>
      <c r="AB51" s="82">
        <v>24092</v>
      </c>
      <c r="AC51" s="257"/>
      <c r="AD51" s="82">
        <v>29791.03</v>
      </c>
      <c r="AE51" s="79"/>
      <c r="AF51" s="79" t="s">
        <v>692</v>
      </c>
      <c r="AG51" s="79"/>
      <c r="AH51" s="82">
        <v>0</v>
      </c>
      <c r="AI51" s="79"/>
      <c r="AJ51" s="82">
        <v>33984</v>
      </c>
      <c r="AK51" s="82"/>
      <c r="AL51" s="79">
        <v>3063</v>
      </c>
      <c r="AM51" s="82"/>
      <c r="AN51" s="82">
        <v>0</v>
      </c>
      <c r="AO51" s="79"/>
      <c r="AP51" s="82">
        <v>30264</v>
      </c>
      <c r="AQ51" s="79"/>
      <c r="AR51" s="79">
        <v>3104</v>
      </c>
      <c r="AS51" s="56" t="s">
        <v>187</v>
      </c>
      <c r="AT51" s="56"/>
      <c r="AU51" s="56" t="s">
        <v>170</v>
      </c>
      <c r="AV51" s="82">
        <v>0</v>
      </c>
      <c r="AW51" s="79"/>
      <c r="AX51" s="82">
        <v>33887</v>
      </c>
      <c r="AY51" s="82"/>
      <c r="AZ51" s="79">
        <v>3358</v>
      </c>
      <c r="BA51" s="82"/>
      <c r="BB51" s="82">
        <v>0</v>
      </c>
      <c r="BC51" s="79"/>
      <c r="BD51" s="82">
        <v>25878</v>
      </c>
      <c r="BE51" s="79"/>
      <c r="BF51" s="79">
        <v>2521</v>
      </c>
      <c r="BG51" s="327"/>
      <c r="BH51" s="327"/>
      <c r="BI51" s="327"/>
      <c r="BJ51" s="327"/>
      <c r="BK51" s="327"/>
      <c r="BL51" s="327"/>
      <c r="BM51" s="247" t="s">
        <v>797</v>
      </c>
    </row>
    <row r="52" spans="1:65" ht="33.75" x14ac:dyDescent="0.2">
      <c r="A52" s="257"/>
      <c r="B52" s="257"/>
      <c r="C52" s="257"/>
      <c r="D52" s="87">
        <v>225</v>
      </c>
      <c r="E52" s="257"/>
      <c r="F52" s="88" t="s">
        <v>189</v>
      </c>
      <c r="G52" s="257"/>
      <c r="H52" s="88" t="s">
        <v>53</v>
      </c>
      <c r="I52" s="257"/>
      <c r="J52" s="225">
        <v>40</v>
      </c>
      <c r="K52" s="87"/>
      <c r="L52" s="88" t="s">
        <v>767</v>
      </c>
      <c r="M52" s="87"/>
      <c r="N52" s="87" t="s">
        <v>55</v>
      </c>
      <c r="O52" s="257"/>
      <c r="P52" s="83">
        <v>39630</v>
      </c>
      <c r="Q52" s="56">
        <v>905</v>
      </c>
      <c r="R52" s="87">
        <v>60</v>
      </c>
      <c r="S52" s="87"/>
      <c r="T52" s="87">
        <v>0</v>
      </c>
      <c r="U52" s="87">
        <v>1080</v>
      </c>
      <c r="V52" s="89">
        <v>1080</v>
      </c>
      <c r="W52" s="87"/>
      <c r="X52" s="79" t="s">
        <v>662</v>
      </c>
      <c r="Y52" s="87"/>
      <c r="Z52" s="82">
        <v>0</v>
      </c>
      <c r="AA52" s="87"/>
      <c r="AB52" s="82">
        <v>2535</v>
      </c>
      <c r="AC52" s="257"/>
      <c r="AD52" s="82">
        <v>3286</v>
      </c>
      <c r="AE52" s="79"/>
      <c r="AF52" s="79" t="s">
        <v>693</v>
      </c>
      <c r="AG52" s="79"/>
      <c r="AH52" s="82">
        <v>0</v>
      </c>
      <c r="AI52" s="79"/>
      <c r="AJ52" s="82">
        <v>1406</v>
      </c>
      <c r="AK52" s="82"/>
      <c r="AL52" s="79">
        <v>109</v>
      </c>
      <c r="AM52" s="82"/>
      <c r="AN52" s="82">
        <v>0</v>
      </c>
      <c r="AO52" s="79"/>
      <c r="AP52" s="82">
        <v>6627</v>
      </c>
      <c r="AQ52" s="79"/>
      <c r="AR52" s="79">
        <v>115</v>
      </c>
      <c r="AS52" s="56" t="s">
        <v>187</v>
      </c>
      <c r="AT52" s="56"/>
      <c r="AU52" s="56" t="s">
        <v>170</v>
      </c>
      <c r="AV52" s="82">
        <v>0</v>
      </c>
      <c r="AW52" s="79"/>
      <c r="AX52" s="82">
        <v>613</v>
      </c>
      <c r="AY52" s="82"/>
      <c r="AZ52" s="79">
        <v>67</v>
      </c>
      <c r="BA52" s="82"/>
      <c r="BB52" s="82">
        <v>0</v>
      </c>
      <c r="BC52" s="79"/>
      <c r="BD52" s="82">
        <v>1007</v>
      </c>
      <c r="BE52" s="79"/>
      <c r="BF52" s="79">
        <v>66</v>
      </c>
      <c r="BG52" s="79"/>
      <c r="BH52" s="79"/>
      <c r="BI52" s="79"/>
      <c r="BJ52" s="79"/>
      <c r="BK52" s="79"/>
      <c r="BL52" s="79"/>
      <c r="BM52" s="265" t="s">
        <v>797</v>
      </c>
    </row>
    <row r="53" spans="1:65" ht="33.75" x14ac:dyDescent="0.2">
      <c r="A53" s="257"/>
      <c r="B53" s="257"/>
      <c r="C53" s="257"/>
      <c r="D53" s="87">
        <v>225</v>
      </c>
      <c r="E53" s="257"/>
      <c r="F53" s="88" t="s">
        <v>191</v>
      </c>
      <c r="G53" s="257"/>
      <c r="H53" s="88" t="s">
        <v>53</v>
      </c>
      <c r="I53" s="257"/>
      <c r="J53" s="225">
        <v>350</v>
      </c>
      <c r="K53" s="87"/>
      <c r="L53" s="88" t="s">
        <v>168</v>
      </c>
      <c r="M53" s="87"/>
      <c r="N53" s="87" t="s">
        <v>55</v>
      </c>
      <c r="O53" s="257"/>
      <c r="P53" s="83">
        <v>37438</v>
      </c>
      <c r="Q53" s="56">
        <v>905</v>
      </c>
      <c r="R53" s="87">
        <v>110</v>
      </c>
      <c r="S53" s="87"/>
      <c r="T53" s="87">
        <v>0</v>
      </c>
      <c r="U53" s="87">
        <v>7744</v>
      </c>
      <c r="V53" s="89">
        <v>7744</v>
      </c>
      <c r="W53" s="87"/>
      <c r="X53" s="79" t="s">
        <v>663</v>
      </c>
      <c r="Y53" s="87"/>
      <c r="Z53" s="82">
        <v>0</v>
      </c>
      <c r="AA53" s="87"/>
      <c r="AB53" s="82">
        <v>5794.18</v>
      </c>
      <c r="AC53" s="257"/>
      <c r="AD53" s="82">
        <v>8438</v>
      </c>
      <c r="AE53" s="79"/>
      <c r="AF53" s="79" t="s">
        <v>694</v>
      </c>
      <c r="AG53" s="79"/>
      <c r="AH53" s="82">
        <v>0</v>
      </c>
      <c r="AI53" s="79"/>
      <c r="AJ53" s="82">
        <v>9566</v>
      </c>
      <c r="AK53" s="82"/>
      <c r="AL53" s="79">
        <v>189</v>
      </c>
      <c r="AM53" s="82"/>
      <c r="AN53" s="82">
        <v>0</v>
      </c>
      <c r="AO53" s="79"/>
      <c r="AP53" s="82">
        <v>13019</v>
      </c>
      <c r="AQ53" s="79"/>
      <c r="AR53" s="79">
        <v>157</v>
      </c>
      <c r="AS53" s="56" t="s">
        <v>187</v>
      </c>
      <c r="AT53" s="56"/>
      <c r="AU53" s="56" t="s">
        <v>170</v>
      </c>
      <c r="AV53" s="82">
        <v>0</v>
      </c>
      <c r="AW53" s="79"/>
      <c r="AX53" s="82">
        <v>12052</v>
      </c>
      <c r="AY53" s="82"/>
      <c r="AZ53" s="79">
        <v>170</v>
      </c>
      <c r="BA53" s="82"/>
      <c r="BB53" s="82">
        <v>0</v>
      </c>
      <c r="BC53" s="79"/>
      <c r="BD53" s="82">
        <v>15042</v>
      </c>
      <c r="BE53" s="79"/>
      <c r="BF53" s="79">
        <v>213</v>
      </c>
      <c r="BG53" s="327"/>
      <c r="BH53" s="327"/>
      <c r="BI53" s="327"/>
      <c r="BJ53" s="327"/>
      <c r="BK53" s="327"/>
      <c r="BL53" s="327"/>
      <c r="BM53" s="247" t="s">
        <v>797</v>
      </c>
    </row>
    <row r="54" spans="1:65" ht="22.5" x14ac:dyDescent="0.2">
      <c r="A54" s="257"/>
      <c r="B54" s="257"/>
      <c r="C54" s="257"/>
      <c r="D54" s="87">
        <v>225</v>
      </c>
      <c r="E54" s="257"/>
      <c r="F54" s="88" t="s">
        <v>192</v>
      </c>
      <c r="G54" s="257"/>
      <c r="H54" s="88" t="s">
        <v>193</v>
      </c>
      <c r="I54" s="257"/>
      <c r="J54" s="225">
        <v>30</v>
      </c>
      <c r="K54" s="87"/>
      <c r="L54" s="88" t="s">
        <v>168</v>
      </c>
      <c r="M54" s="87"/>
      <c r="N54" s="87" t="s">
        <v>55</v>
      </c>
      <c r="O54" s="257"/>
      <c r="P54" s="83">
        <v>36342</v>
      </c>
      <c r="Q54" s="56">
        <v>905</v>
      </c>
      <c r="R54" s="87">
        <v>345</v>
      </c>
      <c r="S54" s="87"/>
      <c r="T54" s="87">
        <v>0</v>
      </c>
      <c r="U54" s="87">
        <v>9810</v>
      </c>
      <c r="V54" s="89">
        <v>9810</v>
      </c>
      <c r="W54" s="87"/>
      <c r="X54" s="79" t="s">
        <v>664</v>
      </c>
      <c r="Y54" s="87"/>
      <c r="Z54" s="82">
        <v>0</v>
      </c>
      <c r="AA54" s="87"/>
      <c r="AB54" s="82">
        <v>8897.73</v>
      </c>
      <c r="AC54" s="257"/>
      <c r="AD54" s="82">
        <v>12097</v>
      </c>
      <c r="AE54" s="79"/>
      <c r="AF54" s="79" t="s">
        <v>695</v>
      </c>
      <c r="AG54" s="79"/>
      <c r="AH54" s="82">
        <v>0</v>
      </c>
      <c r="AI54" s="79"/>
      <c r="AJ54" s="82">
        <v>11523</v>
      </c>
      <c r="AK54" s="82"/>
      <c r="AL54" s="79">
        <v>353</v>
      </c>
      <c r="AM54" s="82"/>
      <c r="AN54" s="82">
        <v>0</v>
      </c>
      <c r="AO54" s="79"/>
      <c r="AP54" s="82">
        <v>3385</v>
      </c>
      <c r="AQ54" s="79"/>
      <c r="AR54" s="79">
        <v>116</v>
      </c>
      <c r="AS54" s="56" t="s">
        <v>194</v>
      </c>
      <c r="AT54" s="56"/>
      <c r="AU54" s="56" t="s">
        <v>170</v>
      </c>
      <c r="AV54" s="82">
        <v>0</v>
      </c>
      <c r="AW54" s="79"/>
      <c r="AX54" s="82">
        <v>1942</v>
      </c>
      <c r="AY54" s="82"/>
      <c r="AZ54" s="79">
        <v>70</v>
      </c>
      <c r="BA54" s="82"/>
      <c r="BB54" s="82">
        <v>0</v>
      </c>
      <c r="BC54" s="79"/>
      <c r="BD54" s="82">
        <v>2260</v>
      </c>
      <c r="BE54" s="79"/>
      <c r="BF54" s="79">
        <v>88</v>
      </c>
      <c r="BG54" s="79"/>
      <c r="BH54" s="79"/>
      <c r="BI54" s="79"/>
      <c r="BJ54" s="79"/>
      <c r="BK54" s="79"/>
      <c r="BL54" s="79"/>
      <c r="BM54" s="265" t="s">
        <v>797</v>
      </c>
    </row>
    <row r="55" spans="1:65" ht="22.5" x14ac:dyDescent="0.2">
      <c r="A55" s="257"/>
      <c r="B55" s="257"/>
      <c r="C55" s="257"/>
      <c r="D55" s="87">
        <v>225</v>
      </c>
      <c r="E55" s="257"/>
      <c r="F55" s="88" t="s">
        <v>195</v>
      </c>
      <c r="G55" s="257"/>
      <c r="H55" s="88" t="s">
        <v>53</v>
      </c>
      <c r="I55" s="257"/>
      <c r="J55" s="225">
        <v>20</v>
      </c>
      <c r="K55" s="87"/>
      <c r="L55" s="88" t="s">
        <v>190</v>
      </c>
      <c r="M55" s="87"/>
      <c r="N55" s="87" t="s">
        <v>55</v>
      </c>
      <c r="O55" s="257"/>
      <c r="P55" s="83">
        <v>37438</v>
      </c>
      <c r="Q55" s="56">
        <v>905</v>
      </c>
      <c r="R55" s="87">
        <v>51</v>
      </c>
      <c r="S55" s="87"/>
      <c r="T55" s="87">
        <v>0</v>
      </c>
      <c r="U55" s="87">
        <v>971</v>
      </c>
      <c r="V55" s="89">
        <v>971</v>
      </c>
      <c r="W55" s="87"/>
      <c r="X55" s="79" t="s">
        <v>665</v>
      </c>
      <c r="Y55" s="87"/>
      <c r="Z55" s="82">
        <v>0</v>
      </c>
      <c r="AA55" s="87"/>
      <c r="AB55" s="82">
        <v>560</v>
      </c>
      <c r="AC55" s="257"/>
      <c r="AD55" s="82">
        <v>325</v>
      </c>
      <c r="AE55" s="79"/>
      <c r="AF55" s="79" t="s">
        <v>696</v>
      </c>
      <c r="AG55" s="79"/>
      <c r="AH55" s="82">
        <v>0</v>
      </c>
      <c r="AI55" s="79"/>
      <c r="AJ55" s="82">
        <v>587</v>
      </c>
      <c r="AK55" s="82"/>
      <c r="AL55" s="79">
        <v>31</v>
      </c>
      <c r="AM55" s="82"/>
      <c r="AN55" s="82">
        <v>0</v>
      </c>
      <c r="AO55" s="79"/>
      <c r="AP55" s="82">
        <v>840</v>
      </c>
      <c r="AQ55" s="79"/>
      <c r="AR55" s="79">
        <v>42</v>
      </c>
      <c r="AS55" s="56" t="s">
        <v>196</v>
      </c>
      <c r="AT55" s="56"/>
      <c r="AU55" s="56" t="s">
        <v>170</v>
      </c>
      <c r="AV55" s="82">
        <v>0</v>
      </c>
      <c r="AW55" s="79"/>
      <c r="AX55" s="82">
        <v>635</v>
      </c>
      <c r="AY55" s="82"/>
      <c r="AZ55" s="79">
        <v>35</v>
      </c>
      <c r="BA55" s="82"/>
      <c r="BB55" s="82">
        <v>0</v>
      </c>
      <c r="BC55" s="79"/>
      <c r="BD55" s="82">
        <v>680</v>
      </c>
      <c r="BE55" s="79"/>
      <c r="BF55" s="79">
        <v>35</v>
      </c>
      <c r="BG55" s="327"/>
      <c r="BH55" s="327"/>
      <c r="BI55" s="327"/>
      <c r="BJ55" s="327"/>
      <c r="BK55" s="327"/>
      <c r="BL55" s="327"/>
      <c r="BM55" s="247" t="s">
        <v>797</v>
      </c>
    </row>
    <row r="56" spans="1:65" ht="22.5" x14ac:dyDescent="0.2">
      <c r="A56" s="257"/>
      <c r="B56" s="257" t="s">
        <v>197</v>
      </c>
      <c r="C56" s="257"/>
      <c r="D56" s="87">
        <v>226</v>
      </c>
      <c r="E56" s="257"/>
      <c r="F56" s="88" t="s">
        <v>198</v>
      </c>
      <c r="G56" s="257"/>
      <c r="H56" s="88" t="s">
        <v>53</v>
      </c>
      <c r="I56" s="257"/>
      <c r="J56" s="225">
        <v>300</v>
      </c>
      <c r="K56" s="87"/>
      <c r="L56" s="88" t="s">
        <v>199</v>
      </c>
      <c r="M56" s="87"/>
      <c r="N56" s="87" t="s">
        <v>55</v>
      </c>
      <c r="O56" s="257"/>
      <c r="P56" s="83">
        <v>38899</v>
      </c>
      <c r="Q56" s="56">
        <v>905</v>
      </c>
      <c r="R56" s="90">
        <v>4235</v>
      </c>
      <c r="S56" s="87"/>
      <c r="T56" s="87">
        <v>0</v>
      </c>
      <c r="U56" s="87"/>
      <c r="V56" s="89">
        <v>653318</v>
      </c>
      <c r="W56" s="87"/>
      <c r="X56" s="79">
        <v>4181</v>
      </c>
      <c r="Y56" s="87"/>
      <c r="Z56" s="82">
        <v>0</v>
      </c>
      <c r="AA56" s="87"/>
      <c r="AB56" s="82">
        <v>667839.54</v>
      </c>
      <c r="AC56" s="257"/>
      <c r="AD56" s="227">
        <v>685305</v>
      </c>
      <c r="AE56" s="228"/>
      <c r="AF56" s="229">
        <v>3249</v>
      </c>
      <c r="AG56" s="79"/>
      <c r="AH56" s="82">
        <v>0</v>
      </c>
      <c r="AI56" s="79"/>
      <c r="AJ56" s="227">
        <v>680609</v>
      </c>
      <c r="AK56" s="227"/>
      <c r="AL56" s="86">
        <v>3143</v>
      </c>
      <c r="AM56" s="227"/>
      <c r="AN56" s="82">
        <v>0</v>
      </c>
      <c r="AO56" s="79"/>
      <c r="AP56" s="227">
        <v>653528</v>
      </c>
      <c r="AQ56" s="79"/>
      <c r="AR56" s="79" t="s">
        <v>753</v>
      </c>
      <c r="AS56" s="56" t="s">
        <v>200</v>
      </c>
      <c r="AT56" s="56"/>
      <c r="AU56" s="230" t="s">
        <v>768</v>
      </c>
      <c r="AV56" s="82">
        <v>0</v>
      </c>
      <c r="AW56" s="79"/>
      <c r="AX56" s="227">
        <v>535825</v>
      </c>
      <c r="AY56" s="227"/>
      <c r="AZ56" s="86">
        <v>2502</v>
      </c>
      <c r="BA56" s="227"/>
      <c r="BB56" s="82">
        <v>0</v>
      </c>
      <c r="BC56" s="79"/>
      <c r="BD56" s="227">
        <v>526667</v>
      </c>
      <c r="BE56" s="79"/>
      <c r="BF56" s="79">
        <v>2541</v>
      </c>
      <c r="BG56" s="79"/>
      <c r="BH56" s="79"/>
      <c r="BI56" s="79"/>
      <c r="BJ56" s="79"/>
      <c r="BK56" s="79"/>
      <c r="BL56" s="79"/>
      <c r="BM56" s="265" t="s">
        <v>782</v>
      </c>
    </row>
    <row r="57" spans="1:65" ht="22.5" x14ac:dyDescent="0.2">
      <c r="A57" s="257"/>
      <c r="B57" s="257"/>
      <c r="C57" s="257"/>
      <c r="D57" s="87">
        <v>226</v>
      </c>
      <c r="E57" s="257"/>
      <c r="F57" s="88" t="s">
        <v>769</v>
      </c>
      <c r="G57" s="257"/>
      <c r="H57" s="88" t="s">
        <v>53</v>
      </c>
      <c r="I57" s="257"/>
      <c r="J57" s="225">
        <v>500</v>
      </c>
      <c r="K57" s="87"/>
      <c r="L57" s="88" t="s">
        <v>201</v>
      </c>
      <c r="M57" s="87"/>
      <c r="N57" s="87" t="s">
        <v>55</v>
      </c>
      <c r="O57" s="257"/>
      <c r="P57" s="83">
        <v>39264</v>
      </c>
      <c r="Q57" s="56">
        <v>905</v>
      </c>
      <c r="R57" s="87">
        <v>119</v>
      </c>
      <c r="S57" s="87"/>
      <c r="T57" s="87">
        <v>0</v>
      </c>
      <c r="U57" s="87"/>
      <c r="V57" s="89">
        <v>15105</v>
      </c>
      <c r="W57" s="87"/>
      <c r="X57" s="79">
        <v>141</v>
      </c>
      <c r="Y57" s="87"/>
      <c r="Z57" s="82">
        <v>0</v>
      </c>
      <c r="AA57" s="87"/>
      <c r="AB57" s="82">
        <v>21819.599999999999</v>
      </c>
      <c r="AC57" s="257"/>
      <c r="AD57" s="227">
        <v>16551</v>
      </c>
      <c r="AE57" s="228"/>
      <c r="AF57" s="229">
        <v>60</v>
      </c>
      <c r="AG57" s="79"/>
      <c r="AH57" s="82">
        <v>0</v>
      </c>
      <c r="AI57" s="79"/>
      <c r="AJ57" s="227">
        <v>22583</v>
      </c>
      <c r="AK57" s="227"/>
      <c r="AL57" s="79">
        <v>44</v>
      </c>
      <c r="AM57" s="227"/>
      <c r="AN57" s="82">
        <v>0</v>
      </c>
      <c r="AO57" s="79"/>
      <c r="AP57" s="227">
        <v>24709</v>
      </c>
      <c r="AQ57" s="79"/>
      <c r="AR57" s="79" t="s">
        <v>754</v>
      </c>
      <c r="AS57" s="56" t="s">
        <v>202</v>
      </c>
      <c r="AT57" s="56"/>
      <c r="AU57" s="230" t="s">
        <v>768</v>
      </c>
      <c r="AV57" s="82">
        <v>0</v>
      </c>
      <c r="AW57" s="79"/>
      <c r="AX57" s="227">
        <v>45862</v>
      </c>
      <c r="AY57" s="227"/>
      <c r="AZ57" s="79">
        <v>63</v>
      </c>
      <c r="BA57" s="227"/>
      <c r="BB57" s="82">
        <v>0</v>
      </c>
      <c r="BC57" s="79"/>
      <c r="BD57" s="227">
        <v>89084</v>
      </c>
      <c r="BE57" s="79"/>
      <c r="BF57" s="79">
        <v>83</v>
      </c>
      <c r="BG57" s="327"/>
      <c r="BH57" s="327"/>
      <c r="BI57" s="327"/>
      <c r="BJ57" s="327"/>
      <c r="BK57" s="327"/>
      <c r="BL57" s="327"/>
      <c r="BM57" s="247" t="s">
        <v>797</v>
      </c>
    </row>
    <row r="58" spans="1:65" ht="22.5" x14ac:dyDescent="0.2">
      <c r="A58" s="257"/>
      <c r="B58" s="257"/>
      <c r="C58" s="257"/>
      <c r="D58" s="87">
        <v>226</v>
      </c>
      <c r="E58" s="257"/>
      <c r="F58" s="88" t="s">
        <v>203</v>
      </c>
      <c r="G58" s="257"/>
      <c r="H58" s="88" t="s">
        <v>53</v>
      </c>
      <c r="I58" s="257"/>
      <c r="J58" s="225">
        <v>100</v>
      </c>
      <c r="K58" s="87"/>
      <c r="L58" s="88" t="s">
        <v>168</v>
      </c>
      <c r="M58" s="87"/>
      <c r="N58" s="87" t="s">
        <v>55</v>
      </c>
      <c r="O58" s="257"/>
      <c r="P58" s="83">
        <v>38899</v>
      </c>
      <c r="Q58" s="56">
        <v>905</v>
      </c>
      <c r="R58" s="87">
        <v>412</v>
      </c>
      <c r="S58" s="87"/>
      <c r="T58" s="87">
        <v>0</v>
      </c>
      <c r="U58" s="87"/>
      <c r="V58" s="89">
        <v>39795</v>
      </c>
      <c r="W58" s="87"/>
      <c r="X58" s="79">
        <v>398</v>
      </c>
      <c r="Y58" s="87"/>
      <c r="Z58" s="82">
        <v>0</v>
      </c>
      <c r="AA58" s="87"/>
      <c r="AB58" s="82">
        <v>39800</v>
      </c>
      <c r="AC58" s="257"/>
      <c r="AD58" s="227">
        <v>36950</v>
      </c>
      <c r="AE58" s="228"/>
      <c r="AF58" s="229">
        <v>358</v>
      </c>
      <c r="AG58" s="79"/>
      <c r="AH58" s="82">
        <v>0</v>
      </c>
      <c r="AI58" s="79"/>
      <c r="AJ58" s="227">
        <v>35625</v>
      </c>
      <c r="AK58" s="227"/>
      <c r="AL58" s="79">
        <v>355</v>
      </c>
      <c r="AM58" s="227"/>
      <c r="AN58" s="82">
        <v>0</v>
      </c>
      <c r="AO58" s="79"/>
      <c r="AP58" s="227">
        <v>29350</v>
      </c>
      <c r="AQ58" s="79"/>
      <c r="AR58" s="79" t="s">
        <v>755</v>
      </c>
      <c r="AS58" s="56" t="s">
        <v>202</v>
      </c>
      <c r="AT58" s="56"/>
      <c r="AU58" s="230" t="s">
        <v>768</v>
      </c>
      <c r="AV58" s="82">
        <v>0</v>
      </c>
      <c r="AW58" s="79"/>
      <c r="AX58" s="227">
        <v>10400</v>
      </c>
      <c r="AY58" s="227"/>
      <c r="AZ58" s="79">
        <v>108</v>
      </c>
      <c r="BA58" s="227"/>
      <c r="BB58" s="82">
        <v>0</v>
      </c>
      <c r="BC58" s="79"/>
      <c r="BD58" s="227">
        <v>0</v>
      </c>
      <c r="BE58" s="79"/>
      <c r="BF58" s="79">
        <v>0</v>
      </c>
      <c r="BG58" s="79"/>
      <c r="BH58" s="79"/>
      <c r="BI58" s="79"/>
      <c r="BJ58" s="79"/>
      <c r="BK58" s="79"/>
      <c r="BL58" s="79"/>
      <c r="BM58" s="265" t="s">
        <v>797</v>
      </c>
    </row>
    <row r="59" spans="1:65" ht="45" x14ac:dyDescent="0.2">
      <c r="A59" s="257"/>
      <c r="B59" s="257"/>
      <c r="C59" s="257"/>
      <c r="D59" s="87"/>
      <c r="E59" s="257"/>
      <c r="F59" s="88" t="s">
        <v>756</v>
      </c>
      <c r="G59" s="257"/>
      <c r="H59" s="88" t="s">
        <v>53</v>
      </c>
      <c r="I59" s="257"/>
      <c r="J59" s="225">
        <v>500</v>
      </c>
      <c r="K59" s="87"/>
      <c r="L59" s="88"/>
      <c r="M59" s="87"/>
      <c r="N59" s="87"/>
      <c r="O59" s="257"/>
      <c r="P59" s="83"/>
      <c r="Q59" s="56"/>
      <c r="R59" s="87"/>
      <c r="S59" s="87"/>
      <c r="T59" s="87"/>
      <c r="U59" s="87"/>
      <c r="V59" s="89"/>
      <c r="W59" s="87"/>
      <c r="X59" s="79"/>
      <c r="Y59" s="87"/>
      <c r="Z59" s="82"/>
      <c r="AA59" s="87"/>
      <c r="AB59" s="82"/>
      <c r="AC59" s="257"/>
      <c r="AD59" s="227">
        <v>0</v>
      </c>
      <c r="AE59" s="228"/>
      <c r="AF59" s="229">
        <v>0</v>
      </c>
      <c r="AG59" s="79"/>
      <c r="AH59" s="82">
        <v>0</v>
      </c>
      <c r="AI59" s="79"/>
      <c r="AJ59" s="227">
        <v>85025</v>
      </c>
      <c r="AK59" s="227"/>
      <c r="AL59" s="79">
        <v>375</v>
      </c>
      <c r="AM59" s="227"/>
      <c r="AN59" s="82"/>
      <c r="AO59" s="79"/>
      <c r="AP59" s="227">
        <v>95654</v>
      </c>
      <c r="AQ59" s="79"/>
      <c r="AR59" s="79" t="s">
        <v>757</v>
      </c>
      <c r="AS59" s="56" t="s">
        <v>183</v>
      </c>
      <c r="AT59" s="56"/>
      <c r="AU59" s="56" t="s">
        <v>770</v>
      </c>
      <c r="AV59" s="82">
        <v>0</v>
      </c>
      <c r="AW59" s="79"/>
      <c r="AX59" s="227">
        <v>93710</v>
      </c>
      <c r="AY59" s="227"/>
      <c r="AZ59" s="79">
        <v>410</v>
      </c>
      <c r="BA59" s="227"/>
      <c r="BB59" s="82">
        <v>0</v>
      </c>
      <c r="BC59" s="79"/>
      <c r="BD59" s="227">
        <v>105614</v>
      </c>
      <c r="BE59" s="79"/>
      <c r="BF59" s="79">
        <v>33</v>
      </c>
      <c r="BG59" s="327"/>
      <c r="BH59" s="327"/>
      <c r="BI59" s="327"/>
      <c r="BJ59" s="327"/>
      <c r="BK59" s="327"/>
      <c r="BL59" s="327"/>
      <c r="BM59" s="247" t="s">
        <v>797</v>
      </c>
    </row>
    <row r="60" spans="1:65" ht="22.5" x14ac:dyDescent="0.2">
      <c r="A60" s="257"/>
      <c r="B60" s="257"/>
      <c r="C60" s="257"/>
      <c r="D60" s="87">
        <v>226</v>
      </c>
      <c r="E60" s="257"/>
      <c r="F60" s="88" t="s">
        <v>204</v>
      </c>
      <c r="G60" s="257"/>
      <c r="H60" s="88" t="s">
        <v>53</v>
      </c>
      <c r="I60" s="257"/>
      <c r="J60" s="225">
        <v>35</v>
      </c>
      <c r="K60" s="87"/>
      <c r="L60" s="88" t="s">
        <v>168</v>
      </c>
      <c r="M60" s="87"/>
      <c r="N60" s="87" t="s">
        <v>55</v>
      </c>
      <c r="O60" s="257"/>
      <c r="P60" s="257"/>
      <c r="Q60" s="56">
        <v>905</v>
      </c>
      <c r="R60" s="87">
        <v>31</v>
      </c>
      <c r="S60" s="87"/>
      <c r="T60" s="87">
        <v>0</v>
      </c>
      <c r="U60" s="87"/>
      <c r="V60" s="89">
        <v>685</v>
      </c>
      <c r="W60" s="87"/>
      <c r="X60" s="79">
        <v>8</v>
      </c>
      <c r="Y60" s="87"/>
      <c r="Z60" s="82">
        <v>0</v>
      </c>
      <c r="AA60" s="87"/>
      <c r="AB60" s="82">
        <v>326</v>
      </c>
      <c r="AC60" s="257"/>
      <c r="AD60" s="227">
        <v>159</v>
      </c>
      <c r="AE60" s="228"/>
      <c r="AF60" s="229">
        <v>54</v>
      </c>
      <c r="AG60" s="79"/>
      <c r="AH60" s="82">
        <v>0</v>
      </c>
      <c r="AI60" s="79"/>
      <c r="AJ60" s="227">
        <v>170</v>
      </c>
      <c r="AK60" s="227"/>
      <c r="AL60" s="79">
        <v>41</v>
      </c>
      <c r="AM60" s="227"/>
      <c r="AN60" s="82">
        <v>0</v>
      </c>
      <c r="AO60" s="79"/>
      <c r="AP60" s="227">
        <v>335</v>
      </c>
      <c r="AQ60" s="79"/>
      <c r="AR60" s="79" t="s">
        <v>758</v>
      </c>
      <c r="AS60" s="56" t="s">
        <v>205</v>
      </c>
      <c r="AT60" s="56"/>
      <c r="AU60" s="230" t="s">
        <v>768</v>
      </c>
      <c r="AV60" s="82">
        <v>0</v>
      </c>
      <c r="AW60" s="79"/>
      <c r="AX60" s="227">
        <v>1220</v>
      </c>
      <c r="AY60" s="227"/>
      <c r="AZ60" s="79">
        <v>47</v>
      </c>
      <c r="BA60" s="227"/>
      <c r="BB60" s="82">
        <v>0</v>
      </c>
      <c r="BC60" s="79"/>
      <c r="BD60" s="227">
        <v>805</v>
      </c>
      <c r="BE60" s="79"/>
      <c r="BF60" s="79">
        <v>33</v>
      </c>
      <c r="BG60" s="79"/>
      <c r="BH60" s="79"/>
      <c r="BI60" s="79"/>
      <c r="BJ60" s="79"/>
      <c r="BK60" s="79"/>
      <c r="BL60" s="79"/>
      <c r="BM60" s="265" t="s">
        <v>797</v>
      </c>
    </row>
    <row r="61" spans="1:65" x14ac:dyDescent="0.2">
      <c r="A61" s="257"/>
      <c r="B61" s="257"/>
      <c r="C61" s="257"/>
      <c r="D61" s="87">
        <v>226</v>
      </c>
      <c r="E61" s="257"/>
      <c r="F61" s="88" t="s">
        <v>206</v>
      </c>
      <c r="G61" s="257"/>
      <c r="H61" s="88" t="s">
        <v>53</v>
      </c>
      <c r="I61" s="257"/>
      <c r="J61" s="225">
        <v>18</v>
      </c>
      <c r="K61" s="87"/>
      <c r="L61" s="88" t="s">
        <v>135</v>
      </c>
      <c r="M61" s="87"/>
      <c r="N61" s="87" t="s">
        <v>55</v>
      </c>
      <c r="O61" s="257"/>
      <c r="P61" s="83">
        <v>39630</v>
      </c>
      <c r="Q61" s="56">
        <v>905</v>
      </c>
      <c r="R61" s="87">
        <v>411</v>
      </c>
      <c r="S61" s="87"/>
      <c r="T61" s="87">
        <v>0</v>
      </c>
      <c r="U61" s="87"/>
      <c r="V61" s="89">
        <v>669505</v>
      </c>
      <c r="W61" s="87"/>
      <c r="X61" s="79">
        <v>472</v>
      </c>
      <c r="Y61" s="87"/>
      <c r="Z61" s="82">
        <v>0</v>
      </c>
      <c r="AA61" s="87"/>
      <c r="AB61" s="82">
        <v>936245.21</v>
      </c>
      <c r="AC61" s="257"/>
      <c r="AD61" s="227">
        <v>839193</v>
      </c>
      <c r="AE61" s="228"/>
      <c r="AF61" s="229">
        <v>4441</v>
      </c>
      <c r="AG61" s="79"/>
      <c r="AH61" s="82">
        <v>0</v>
      </c>
      <c r="AI61" s="79"/>
      <c r="AJ61" s="227">
        <v>827947</v>
      </c>
      <c r="AK61" s="227"/>
      <c r="AL61" s="79">
        <v>466</v>
      </c>
      <c r="AM61" s="227"/>
      <c r="AN61" s="82">
        <v>0</v>
      </c>
      <c r="AO61" s="79"/>
      <c r="AP61" s="227">
        <v>852960</v>
      </c>
      <c r="AQ61" s="79"/>
      <c r="AR61" s="79">
        <v>452</v>
      </c>
      <c r="AS61" s="56" t="s">
        <v>202</v>
      </c>
      <c r="AT61" s="56"/>
      <c r="AU61" s="56"/>
      <c r="AV61" s="82">
        <v>0</v>
      </c>
      <c r="AW61" s="79"/>
      <c r="AX61" s="227">
        <v>900609</v>
      </c>
      <c r="AY61" s="227"/>
      <c r="AZ61" s="79">
        <v>475</v>
      </c>
      <c r="BA61" s="227"/>
      <c r="BB61" s="82">
        <v>0</v>
      </c>
      <c r="BC61" s="79"/>
      <c r="BD61" s="227">
        <v>963948</v>
      </c>
      <c r="BE61" s="79"/>
      <c r="BF61" s="79">
        <v>523</v>
      </c>
      <c r="BG61" s="327"/>
      <c r="BH61" s="327"/>
      <c r="BI61" s="327"/>
      <c r="BJ61" s="327"/>
      <c r="BK61" s="327"/>
      <c r="BL61" s="327"/>
      <c r="BM61" s="247" t="s">
        <v>797</v>
      </c>
    </row>
    <row r="62" spans="1:65" x14ac:dyDescent="0.2">
      <c r="A62" s="257"/>
      <c r="B62" s="257"/>
      <c r="C62" s="257"/>
      <c r="D62" s="87">
        <v>226</v>
      </c>
      <c r="E62" s="257"/>
      <c r="F62" s="88" t="s">
        <v>771</v>
      </c>
      <c r="G62" s="257"/>
      <c r="H62" s="88" t="s">
        <v>53</v>
      </c>
      <c r="I62" s="257"/>
      <c r="J62" s="225">
        <v>24</v>
      </c>
      <c r="K62" s="87"/>
      <c r="L62" s="88" t="s">
        <v>135</v>
      </c>
      <c r="M62" s="87"/>
      <c r="N62" s="87" t="s">
        <v>55</v>
      </c>
      <c r="O62" s="257"/>
      <c r="P62" s="83">
        <v>39630</v>
      </c>
      <c r="Q62" s="56">
        <v>905</v>
      </c>
      <c r="R62" s="87">
        <v>171</v>
      </c>
      <c r="S62" s="87"/>
      <c r="T62" s="87">
        <v>0</v>
      </c>
      <c r="U62" s="87"/>
      <c r="V62" s="89">
        <v>284240</v>
      </c>
      <c r="W62" s="87"/>
      <c r="X62" s="79">
        <v>81</v>
      </c>
      <c r="Y62" s="87"/>
      <c r="Z62" s="82">
        <v>0</v>
      </c>
      <c r="AA62" s="87"/>
      <c r="AB62" s="82">
        <v>151119.37</v>
      </c>
      <c r="AC62" s="257"/>
      <c r="AD62" s="227">
        <v>118322</v>
      </c>
      <c r="AE62" s="228"/>
      <c r="AF62" s="229">
        <v>283</v>
      </c>
      <c r="AG62" s="79"/>
      <c r="AH62" s="82">
        <v>0</v>
      </c>
      <c r="AI62" s="79"/>
      <c r="AJ62" s="227">
        <v>167978</v>
      </c>
      <c r="AK62" s="227"/>
      <c r="AL62" s="79">
        <v>52</v>
      </c>
      <c r="AM62" s="227"/>
      <c r="AN62" s="82">
        <v>0</v>
      </c>
      <c r="AO62" s="79"/>
      <c r="AP62" s="227">
        <v>123735</v>
      </c>
      <c r="AQ62" s="79"/>
      <c r="AR62" s="79">
        <v>42</v>
      </c>
      <c r="AS62" s="56" t="s">
        <v>202</v>
      </c>
      <c r="AT62" s="56"/>
      <c r="AU62" s="56"/>
      <c r="AV62" s="82">
        <v>0</v>
      </c>
      <c r="AW62" s="79"/>
      <c r="AX62" s="227">
        <v>69244</v>
      </c>
      <c r="AY62" s="227"/>
      <c r="AZ62" s="79">
        <v>33</v>
      </c>
      <c r="BA62" s="227"/>
      <c r="BB62" s="82">
        <v>0</v>
      </c>
      <c r="BC62" s="79"/>
      <c r="BD62" s="227">
        <v>111074</v>
      </c>
      <c r="BE62" s="79"/>
      <c r="BF62" s="79">
        <v>47</v>
      </c>
      <c r="BG62" s="79"/>
      <c r="BH62" s="79"/>
      <c r="BI62" s="79"/>
      <c r="BJ62" s="79"/>
      <c r="BK62" s="79"/>
      <c r="BL62" s="79"/>
      <c r="BM62" s="265" t="s">
        <v>797</v>
      </c>
    </row>
    <row r="63" spans="1:65" ht="33.75" x14ac:dyDescent="0.2">
      <c r="A63" s="257"/>
      <c r="B63" s="257"/>
      <c r="C63" s="257"/>
      <c r="D63" s="87">
        <v>226</v>
      </c>
      <c r="E63" s="257"/>
      <c r="F63" s="88" t="s">
        <v>851</v>
      </c>
      <c r="G63" s="257"/>
      <c r="H63" s="88" t="s">
        <v>53</v>
      </c>
      <c r="I63" s="257"/>
      <c r="J63" s="225">
        <v>35</v>
      </c>
      <c r="K63" s="87"/>
      <c r="L63" s="88" t="s">
        <v>168</v>
      </c>
      <c r="M63" s="87"/>
      <c r="N63" s="87" t="s">
        <v>55</v>
      </c>
      <c r="O63" s="257"/>
      <c r="P63" s="83">
        <v>39995</v>
      </c>
      <c r="Q63" s="56">
        <v>905</v>
      </c>
      <c r="R63" s="87">
        <v>385</v>
      </c>
      <c r="S63" s="87"/>
      <c r="T63" s="87">
        <v>0</v>
      </c>
      <c r="U63" s="87"/>
      <c r="V63" s="89">
        <v>10995</v>
      </c>
      <c r="W63" s="87"/>
      <c r="X63" s="79">
        <v>419</v>
      </c>
      <c r="Y63" s="87"/>
      <c r="Z63" s="82">
        <v>0</v>
      </c>
      <c r="AA63" s="87"/>
      <c r="AB63" s="82">
        <v>14131.88</v>
      </c>
      <c r="AC63" s="257"/>
      <c r="AD63" s="227">
        <v>13853</v>
      </c>
      <c r="AE63" s="228"/>
      <c r="AF63" s="229">
        <v>396</v>
      </c>
      <c r="AG63" s="79"/>
      <c r="AH63" s="82">
        <v>0</v>
      </c>
      <c r="AI63" s="79"/>
      <c r="AJ63" s="227">
        <v>14882</v>
      </c>
      <c r="AK63" s="227"/>
      <c r="AL63" s="79">
        <v>427</v>
      </c>
      <c r="AM63" s="227"/>
      <c r="AN63" s="82">
        <v>0</v>
      </c>
      <c r="AO63" s="79"/>
      <c r="AP63" s="227">
        <v>13934</v>
      </c>
      <c r="AQ63" s="79"/>
      <c r="AR63" s="79">
        <v>388</v>
      </c>
      <c r="AS63" s="56" t="s">
        <v>202</v>
      </c>
      <c r="AT63" s="56"/>
      <c r="AU63" s="56"/>
      <c r="AV63" s="82">
        <v>0</v>
      </c>
      <c r="AW63" s="79"/>
      <c r="AX63" s="227">
        <v>14996</v>
      </c>
      <c r="AY63" s="227"/>
      <c r="AZ63" s="79">
        <v>454</v>
      </c>
      <c r="BA63" s="227"/>
      <c r="BB63" s="82">
        <v>0</v>
      </c>
      <c r="BC63" s="79"/>
      <c r="BD63" s="227">
        <v>15469</v>
      </c>
      <c r="BE63" s="79"/>
      <c r="BF63" s="79">
        <v>442</v>
      </c>
      <c r="BG63" s="327"/>
      <c r="BH63" s="327"/>
      <c r="BI63" s="327"/>
      <c r="BJ63" s="327"/>
      <c r="BK63" s="327"/>
      <c r="BL63" s="327"/>
      <c r="BM63" s="247" t="s">
        <v>797</v>
      </c>
    </row>
    <row r="64" spans="1:65" ht="22.5" x14ac:dyDescent="0.2">
      <c r="A64" s="257"/>
      <c r="B64" s="257"/>
      <c r="C64" s="257"/>
      <c r="D64" s="87">
        <v>226</v>
      </c>
      <c r="E64" s="257"/>
      <c r="F64" s="88" t="s">
        <v>852</v>
      </c>
      <c r="G64" s="257"/>
      <c r="H64" s="88" t="s">
        <v>53</v>
      </c>
      <c r="I64" s="257"/>
      <c r="J64" s="225">
        <v>15</v>
      </c>
      <c r="K64" s="87"/>
      <c r="L64" s="88" t="s">
        <v>168</v>
      </c>
      <c r="M64" s="87"/>
      <c r="N64" s="87" t="s">
        <v>55</v>
      </c>
      <c r="O64" s="257"/>
      <c r="P64" s="257"/>
      <c r="Q64" s="56">
        <v>905</v>
      </c>
      <c r="R64" s="87">
        <v>162</v>
      </c>
      <c r="S64" s="87"/>
      <c r="T64" s="87">
        <v>0</v>
      </c>
      <c r="U64" s="87"/>
      <c r="V64" s="89">
        <v>2315</v>
      </c>
      <c r="W64" s="87"/>
      <c r="X64" s="79">
        <v>0</v>
      </c>
      <c r="Y64" s="87"/>
      <c r="Z64" s="82">
        <v>0</v>
      </c>
      <c r="AA64" s="87"/>
      <c r="AB64" s="82">
        <v>0</v>
      </c>
      <c r="AC64" s="257"/>
      <c r="AD64" s="231" t="s">
        <v>360</v>
      </c>
      <c r="AE64" s="228"/>
      <c r="AF64" s="228" t="s">
        <v>360</v>
      </c>
      <c r="AG64" s="79"/>
      <c r="AH64" s="82">
        <v>0</v>
      </c>
      <c r="AI64" s="79"/>
      <c r="AJ64" s="227" t="s">
        <v>360</v>
      </c>
      <c r="AK64" s="227"/>
      <c r="AL64" s="79" t="s">
        <v>360</v>
      </c>
      <c r="AM64" s="227"/>
      <c r="AN64" s="82">
        <v>0</v>
      </c>
      <c r="AO64" s="79"/>
      <c r="AP64" s="231" t="s">
        <v>360</v>
      </c>
      <c r="AQ64" s="79"/>
      <c r="AR64" s="79" t="s">
        <v>360</v>
      </c>
      <c r="AS64" s="56" t="s">
        <v>202</v>
      </c>
      <c r="AT64" s="56"/>
      <c r="AU64" s="56"/>
      <c r="AV64" s="82">
        <v>0</v>
      </c>
      <c r="AW64" s="79"/>
      <c r="AX64" s="227" t="s">
        <v>808</v>
      </c>
      <c r="AY64" s="227"/>
      <c r="AZ64" s="79" t="s">
        <v>808</v>
      </c>
      <c r="BA64" s="227"/>
      <c r="BB64" s="82">
        <v>0</v>
      </c>
      <c r="BC64" s="79"/>
      <c r="BD64" s="231" t="s">
        <v>808</v>
      </c>
      <c r="BE64" s="79"/>
      <c r="BF64" s="79" t="s">
        <v>808</v>
      </c>
      <c r="BG64" s="79"/>
      <c r="BH64" s="79"/>
      <c r="BI64" s="79"/>
      <c r="BJ64" s="79"/>
      <c r="BK64" s="79"/>
      <c r="BL64" s="79"/>
      <c r="BM64" s="265" t="s">
        <v>797</v>
      </c>
    </row>
    <row r="65" spans="1:65" ht="22.5" x14ac:dyDescent="0.2">
      <c r="A65" s="257"/>
      <c r="B65" s="257"/>
      <c r="C65" s="257"/>
      <c r="D65" s="87">
        <v>226</v>
      </c>
      <c r="E65" s="257"/>
      <c r="F65" s="88" t="s">
        <v>207</v>
      </c>
      <c r="G65" s="257"/>
      <c r="H65" s="88" t="s">
        <v>53</v>
      </c>
      <c r="I65" s="257"/>
      <c r="J65" s="225">
        <v>35</v>
      </c>
      <c r="K65" s="87"/>
      <c r="L65" s="88" t="s">
        <v>519</v>
      </c>
      <c r="M65" s="87"/>
      <c r="N65" s="87" t="s">
        <v>55</v>
      </c>
      <c r="O65" s="257"/>
      <c r="P65" s="257"/>
      <c r="Q65" s="56">
        <v>905</v>
      </c>
      <c r="R65" s="87">
        <v>118</v>
      </c>
      <c r="S65" s="87"/>
      <c r="T65" s="87">
        <v>0</v>
      </c>
      <c r="U65" s="87"/>
      <c r="V65" s="89">
        <v>30542.35</v>
      </c>
      <c r="W65" s="87"/>
      <c r="X65" s="79">
        <v>924</v>
      </c>
      <c r="Y65" s="87"/>
      <c r="Z65" s="82">
        <v>0</v>
      </c>
      <c r="AA65" s="87"/>
      <c r="AB65" s="82">
        <v>29364.22</v>
      </c>
      <c r="AC65" s="257"/>
      <c r="AD65" s="227">
        <v>29484</v>
      </c>
      <c r="AE65" s="229"/>
      <c r="AF65" s="229">
        <v>924</v>
      </c>
      <c r="AG65" s="79"/>
      <c r="AH65" s="82">
        <v>0</v>
      </c>
      <c r="AI65" s="79"/>
      <c r="AJ65" s="227">
        <v>27481</v>
      </c>
      <c r="AK65" s="227"/>
      <c r="AL65" s="79">
        <v>880</v>
      </c>
      <c r="AM65" s="227"/>
      <c r="AN65" s="82">
        <v>0</v>
      </c>
      <c r="AO65" s="79"/>
      <c r="AP65" s="227">
        <v>32490</v>
      </c>
      <c r="AQ65" s="79"/>
      <c r="AR65" s="79">
        <v>974</v>
      </c>
      <c r="AS65" s="56" t="s">
        <v>202</v>
      </c>
      <c r="AT65" s="56"/>
      <c r="AU65" s="56"/>
      <c r="AV65" s="82">
        <v>0</v>
      </c>
      <c r="AW65" s="79"/>
      <c r="AX65" s="227">
        <v>46008</v>
      </c>
      <c r="AY65" s="227"/>
      <c r="AZ65" s="79">
        <v>1200</v>
      </c>
      <c r="BA65" s="227"/>
      <c r="BB65" s="82">
        <v>0</v>
      </c>
      <c r="BC65" s="79"/>
      <c r="BD65" s="227">
        <v>47450</v>
      </c>
      <c r="BE65" s="79"/>
      <c r="BF65" s="79">
        <v>1267</v>
      </c>
      <c r="BG65" s="327"/>
      <c r="BH65" s="327"/>
      <c r="BI65" s="327"/>
      <c r="BJ65" s="327"/>
      <c r="BK65" s="327"/>
      <c r="BL65" s="327"/>
      <c r="BM65" s="247" t="s">
        <v>797</v>
      </c>
    </row>
    <row r="66" spans="1:65" x14ac:dyDescent="0.2">
      <c r="A66" s="257"/>
      <c r="B66" s="257" t="s">
        <v>208</v>
      </c>
      <c r="C66" s="257"/>
      <c r="D66" s="87">
        <v>227</v>
      </c>
      <c r="E66" s="257"/>
      <c r="F66" s="88" t="s">
        <v>159</v>
      </c>
      <c r="G66" s="257"/>
      <c r="H66" s="88" t="s">
        <v>53</v>
      </c>
      <c r="I66" s="257"/>
      <c r="J66" s="225">
        <v>300</v>
      </c>
      <c r="K66" s="87"/>
      <c r="L66" s="88" t="s">
        <v>199</v>
      </c>
      <c r="M66" s="87"/>
      <c r="N66" s="87" t="s">
        <v>55</v>
      </c>
      <c r="O66" s="257"/>
      <c r="P66" s="257"/>
      <c r="Q66" s="56">
        <v>905</v>
      </c>
      <c r="R66" s="87" t="s">
        <v>50</v>
      </c>
      <c r="S66" s="87"/>
      <c r="T66" s="87">
        <v>0</v>
      </c>
      <c r="U66" s="87">
        <v>202111</v>
      </c>
      <c r="V66" s="89">
        <v>202111</v>
      </c>
      <c r="W66" s="87"/>
      <c r="X66" s="79">
        <v>2760</v>
      </c>
      <c r="Y66" s="87"/>
      <c r="Z66" s="82">
        <v>0</v>
      </c>
      <c r="AA66" s="87"/>
      <c r="AB66" s="82">
        <v>189448</v>
      </c>
      <c r="AC66" s="257"/>
      <c r="AD66" s="82">
        <v>197206</v>
      </c>
      <c r="AE66" s="79"/>
      <c r="AF66" s="79">
        <v>1428</v>
      </c>
      <c r="AG66" s="79"/>
      <c r="AH66" s="82">
        <v>0</v>
      </c>
      <c r="AI66" s="79"/>
      <c r="AJ66" s="82">
        <v>196420</v>
      </c>
      <c r="AK66" s="82"/>
      <c r="AL66" s="79">
        <v>1146</v>
      </c>
      <c r="AM66" s="82"/>
      <c r="AN66" s="82">
        <v>0</v>
      </c>
      <c r="AO66" s="79"/>
      <c r="AP66" s="82">
        <v>206583</v>
      </c>
      <c r="AQ66" s="79"/>
      <c r="AR66" s="79">
        <v>1267</v>
      </c>
      <c r="AS66" s="56" t="s">
        <v>209</v>
      </c>
      <c r="AT66" s="56"/>
      <c r="AU66" s="56"/>
      <c r="AV66" s="82">
        <v>0</v>
      </c>
      <c r="AW66" s="79"/>
      <c r="AX66" s="82">
        <v>211605</v>
      </c>
      <c r="AY66" s="82"/>
      <c r="AZ66" s="79">
        <v>1236</v>
      </c>
      <c r="BA66" s="82"/>
      <c r="BB66" s="82">
        <v>0</v>
      </c>
      <c r="BC66" s="79"/>
      <c r="BD66" s="82">
        <v>187453</v>
      </c>
      <c r="BE66" s="79"/>
      <c r="BF66" s="79">
        <v>1143</v>
      </c>
      <c r="BG66" s="79"/>
      <c r="BH66" s="79"/>
      <c r="BI66" s="79"/>
      <c r="BJ66" s="79"/>
      <c r="BK66" s="79"/>
      <c r="BL66" s="79"/>
      <c r="BM66" s="265" t="s">
        <v>782</v>
      </c>
    </row>
    <row r="67" spans="1:65" x14ac:dyDescent="0.2">
      <c r="A67" s="257"/>
      <c r="B67" s="257"/>
      <c r="C67" s="257"/>
      <c r="D67" s="87">
        <v>227</v>
      </c>
      <c r="E67" s="257"/>
      <c r="F67" s="88" t="s">
        <v>90</v>
      </c>
      <c r="G67" s="257"/>
      <c r="H67" s="88" t="s">
        <v>53</v>
      </c>
      <c r="I67" s="257"/>
      <c r="J67" s="225">
        <v>18</v>
      </c>
      <c r="K67" s="87"/>
      <c r="L67" s="88" t="s">
        <v>135</v>
      </c>
      <c r="M67" s="87"/>
      <c r="N67" s="87" t="s">
        <v>55</v>
      </c>
      <c r="O67" s="257"/>
      <c r="P67" s="257"/>
      <c r="Q67" s="56">
        <v>905</v>
      </c>
      <c r="R67" s="87" t="s">
        <v>50</v>
      </c>
      <c r="S67" s="87"/>
      <c r="T67" s="87">
        <v>0</v>
      </c>
      <c r="U67" s="87">
        <v>440835</v>
      </c>
      <c r="V67" s="89">
        <v>440835</v>
      </c>
      <c r="W67" s="87"/>
      <c r="X67" s="79">
        <v>252</v>
      </c>
      <c r="Y67" s="87"/>
      <c r="Z67" s="82">
        <v>0</v>
      </c>
      <c r="AA67" s="87"/>
      <c r="AB67" s="82">
        <v>484475</v>
      </c>
      <c r="AC67" s="257"/>
      <c r="AD67" s="82">
        <v>448086</v>
      </c>
      <c r="AE67" s="79"/>
      <c r="AF67" s="79"/>
      <c r="AG67" s="79"/>
      <c r="AH67" s="82">
        <v>0</v>
      </c>
      <c r="AI67" s="79"/>
      <c r="AJ67" s="82">
        <v>470132</v>
      </c>
      <c r="AK67" s="82"/>
      <c r="AL67" s="79">
        <v>330</v>
      </c>
      <c r="AM67" s="82"/>
      <c r="AN67" s="82">
        <v>0</v>
      </c>
      <c r="AO67" s="79"/>
      <c r="AP67" s="82">
        <v>536175</v>
      </c>
      <c r="AQ67" s="79"/>
      <c r="AR67" s="79">
        <v>377</v>
      </c>
      <c r="AS67" s="56" t="s">
        <v>209</v>
      </c>
      <c r="AT67" s="56"/>
      <c r="AU67" s="56"/>
      <c r="AV67" s="82">
        <v>0</v>
      </c>
      <c r="AW67" s="79"/>
      <c r="AX67" s="82">
        <v>681162</v>
      </c>
      <c r="AY67" s="82"/>
      <c r="AZ67" s="79">
        <v>433</v>
      </c>
      <c r="BA67" s="82"/>
      <c r="BB67" s="82">
        <v>0</v>
      </c>
      <c r="BC67" s="79"/>
      <c r="BD67" s="82">
        <v>701831</v>
      </c>
      <c r="BE67" s="79"/>
      <c r="BF67" s="79">
        <v>447</v>
      </c>
      <c r="BG67" s="327"/>
      <c r="BH67" s="327"/>
      <c r="BI67" s="327"/>
      <c r="BJ67" s="327"/>
      <c r="BK67" s="327"/>
      <c r="BL67" s="327"/>
      <c r="BM67" s="247" t="s">
        <v>797</v>
      </c>
    </row>
    <row r="68" spans="1:65" x14ac:dyDescent="0.2">
      <c r="A68" s="257"/>
      <c r="B68" s="257"/>
      <c r="C68" s="257"/>
      <c r="D68" s="87">
        <v>227</v>
      </c>
      <c r="E68" s="257"/>
      <c r="F68" s="88" t="s">
        <v>210</v>
      </c>
      <c r="G68" s="257"/>
      <c r="H68" s="88" t="s">
        <v>53</v>
      </c>
      <c r="I68" s="257"/>
      <c r="J68" s="225">
        <v>27</v>
      </c>
      <c r="K68" s="87"/>
      <c r="L68" s="88" t="s">
        <v>135</v>
      </c>
      <c r="M68" s="87"/>
      <c r="N68" s="87" t="s">
        <v>55</v>
      </c>
      <c r="O68" s="257"/>
      <c r="P68" s="257"/>
      <c r="Q68" s="56">
        <v>905</v>
      </c>
      <c r="R68" s="87" t="s">
        <v>50</v>
      </c>
      <c r="S68" s="87"/>
      <c r="T68" s="87">
        <v>0</v>
      </c>
      <c r="U68" s="87">
        <v>132733</v>
      </c>
      <c r="V68" s="89">
        <v>132733</v>
      </c>
      <c r="W68" s="87"/>
      <c r="X68" s="79">
        <v>90</v>
      </c>
      <c r="Y68" s="87"/>
      <c r="Z68" s="82">
        <v>0</v>
      </c>
      <c r="AA68" s="87"/>
      <c r="AB68" s="82">
        <v>188692</v>
      </c>
      <c r="AC68" s="257"/>
      <c r="AD68" s="82">
        <v>169177</v>
      </c>
      <c r="AE68" s="79"/>
      <c r="AF68" s="79"/>
      <c r="AG68" s="79"/>
      <c r="AH68" s="82">
        <v>0</v>
      </c>
      <c r="AI68" s="79"/>
      <c r="AJ68" s="82">
        <v>161174</v>
      </c>
      <c r="AK68" s="82"/>
      <c r="AL68" s="79">
        <v>39</v>
      </c>
      <c r="AM68" s="82"/>
      <c r="AN68" s="82">
        <v>0</v>
      </c>
      <c r="AO68" s="79"/>
      <c r="AP68" s="82">
        <v>127607</v>
      </c>
      <c r="AQ68" s="79"/>
      <c r="AR68" s="79">
        <v>55</v>
      </c>
      <c r="AS68" s="56" t="s">
        <v>209</v>
      </c>
      <c r="AT68" s="56"/>
      <c r="AU68" s="56"/>
      <c r="AV68" s="82">
        <v>0</v>
      </c>
      <c r="AW68" s="79"/>
      <c r="AX68" s="82">
        <v>124138</v>
      </c>
      <c r="AY68" s="82"/>
      <c r="AZ68" s="79">
        <v>56</v>
      </c>
      <c r="BA68" s="82"/>
      <c r="BB68" s="82">
        <v>0</v>
      </c>
      <c r="BC68" s="79"/>
      <c r="BD68" s="82">
        <v>106304</v>
      </c>
      <c r="BE68" s="79"/>
      <c r="BF68" s="79">
        <v>51</v>
      </c>
      <c r="BG68" s="79"/>
      <c r="BH68" s="79"/>
      <c r="BI68" s="79"/>
      <c r="BJ68" s="79"/>
      <c r="BK68" s="79"/>
      <c r="BL68" s="79"/>
      <c r="BM68" s="265" t="s">
        <v>797</v>
      </c>
    </row>
    <row r="69" spans="1:65" x14ac:dyDescent="0.2">
      <c r="A69" s="257"/>
      <c r="B69" s="257"/>
      <c r="C69" s="257"/>
      <c r="D69" s="87">
        <v>227</v>
      </c>
      <c r="E69" s="257"/>
      <c r="F69" s="88" t="s">
        <v>211</v>
      </c>
      <c r="G69" s="257"/>
      <c r="H69" s="88" t="s">
        <v>53</v>
      </c>
      <c r="I69" s="257"/>
      <c r="J69" s="225">
        <v>15</v>
      </c>
      <c r="K69" s="87"/>
      <c r="L69" s="88" t="s">
        <v>212</v>
      </c>
      <c r="M69" s="87"/>
      <c r="N69" s="87" t="s">
        <v>55</v>
      </c>
      <c r="O69" s="257"/>
      <c r="P69" s="257"/>
      <c r="Q69" s="56">
        <v>905</v>
      </c>
      <c r="R69" s="87"/>
      <c r="S69" s="87"/>
      <c r="T69" s="87">
        <v>0</v>
      </c>
      <c r="U69" s="87">
        <v>76430</v>
      </c>
      <c r="V69" s="89">
        <v>76430</v>
      </c>
      <c r="W69" s="87"/>
      <c r="X69" s="79">
        <v>366</v>
      </c>
      <c r="Y69" s="87"/>
      <c r="Z69" s="82">
        <v>0</v>
      </c>
      <c r="AA69" s="87"/>
      <c r="AB69" s="82">
        <v>75667</v>
      </c>
      <c r="AC69" s="257"/>
      <c r="AD69" s="82">
        <v>86251</v>
      </c>
      <c r="AE69" s="79"/>
      <c r="AF69" s="79">
        <v>255</v>
      </c>
      <c r="AG69" s="79"/>
      <c r="AH69" s="82">
        <v>0</v>
      </c>
      <c r="AI69" s="79"/>
      <c r="AJ69" s="82">
        <v>68534</v>
      </c>
      <c r="AK69" s="82"/>
      <c r="AL69" s="79">
        <v>351</v>
      </c>
      <c r="AM69" s="82"/>
      <c r="AN69" s="82">
        <v>0</v>
      </c>
      <c r="AO69" s="79"/>
      <c r="AP69" s="82">
        <v>67346</v>
      </c>
      <c r="AQ69" s="79"/>
      <c r="AR69" s="79">
        <v>320</v>
      </c>
      <c r="AS69" s="56" t="s">
        <v>213</v>
      </c>
      <c r="AT69" s="56"/>
      <c r="AU69" s="56"/>
      <c r="AV69" s="82">
        <v>0</v>
      </c>
      <c r="AW69" s="79"/>
      <c r="AX69" s="82">
        <v>55883</v>
      </c>
      <c r="AY69" s="82"/>
      <c r="AZ69" s="79">
        <v>292</v>
      </c>
      <c r="BA69" s="82"/>
      <c r="BB69" s="82">
        <v>0</v>
      </c>
      <c r="BC69" s="79"/>
      <c r="BD69" s="82">
        <v>56000</v>
      </c>
      <c r="BE69" s="79"/>
      <c r="BF69" s="79">
        <v>313</v>
      </c>
      <c r="BG69" s="327"/>
      <c r="BH69" s="327"/>
      <c r="BI69" s="327"/>
      <c r="BJ69" s="327"/>
      <c r="BK69" s="327"/>
      <c r="BL69" s="327"/>
      <c r="BM69" s="247" t="s">
        <v>797</v>
      </c>
    </row>
    <row r="70" spans="1:65" x14ac:dyDescent="0.2">
      <c r="A70" s="257" t="s">
        <v>50</v>
      </c>
      <c r="B70" s="257" t="s">
        <v>214</v>
      </c>
      <c r="C70" s="257"/>
      <c r="D70" s="87">
        <v>228</v>
      </c>
      <c r="E70" s="257"/>
      <c r="F70" s="88" t="s">
        <v>215</v>
      </c>
      <c r="G70" s="257"/>
      <c r="H70" s="88" t="s">
        <v>111</v>
      </c>
      <c r="I70" s="257"/>
      <c r="J70" s="225">
        <v>300</v>
      </c>
      <c r="K70" s="87"/>
      <c r="L70" s="88" t="s">
        <v>199</v>
      </c>
      <c r="M70" s="87"/>
      <c r="N70" s="87" t="s">
        <v>55</v>
      </c>
      <c r="O70" s="257"/>
      <c r="P70" s="83">
        <v>38899</v>
      </c>
      <c r="Q70" s="56">
        <v>905</v>
      </c>
      <c r="R70" s="87" t="s">
        <v>520</v>
      </c>
      <c r="S70" s="87"/>
      <c r="T70" s="87">
        <v>0</v>
      </c>
      <c r="U70" s="87"/>
      <c r="V70" s="89">
        <v>274340.53000000003</v>
      </c>
      <c r="W70" s="87"/>
      <c r="X70" s="79">
        <v>5014</v>
      </c>
      <c r="Y70" s="87"/>
      <c r="Z70" s="82">
        <v>0</v>
      </c>
      <c r="AA70" s="87"/>
      <c r="AB70" s="82">
        <v>242360</v>
      </c>
      <c r="AC70" s="257"/>
      <c r="AD70" s="82">
        <v>307898</v>
      </c>
      <c r="AE70" s="79"/>
      <c r="AF70" s="79">
        <v>6380</v>
      </c>
      <c r="AG70" s="79"/>
      <c r="AH70" s="82">
        <v>0</v>
      </c>
      <c r="AI70" s="79"/>
      <c r="AJ70" s="82">
        <v>305009</v>
      </c>
      <c r="AK70" s="82"/>
      <c r="AL70" s="79">
        <v>2014</v>
      </c>
      <c r="AM70" s="82"/>
      <c r="AN70" s="82">
        <v>0</v>
      </c>
      <c r="AO70" s="79"/>
      <c r="AP70" s="82">
        <v>315906</v>
      </c>
      <c r="AQ70" s="79"/>
      <c r="AR70" s="79">
        <v>2098</v>
      </c>
      <c r="AS70" s="56" t="s">
        <v>216</v>
      </c>
      <c r="AT70" s="56"/>
      <c r="AU70" s="56" t="s">
        <v>217</v>
      </c>
      <c r="AV70" s="82">
        <v>0</v>
      </c>
      <c r="AW70" s="79"/>
      <c r="AX70" s="82">
        <v>309120.42</v>
      </c>
      <c r="AY70" s="82"/>
      <c r="AZ70" s="79">
        <v>2039</v>
      </c>
      <c r="BA70" s="82"/>
      <c r="BB70" s="82">
        <v>0</v>
      </c>
      <c r="BC70" s="79"/>
      <c r="BD70" s="82">
        <v>318893.15999999997</v>
      </c>
      <c r="BE70" s="79"/>
      <c r="BF70" s="79">
        <v>1845</v>
      </c>
      <c r="BG70" s="79"/>
      <c r="BH70" s="79"/>
      <c r="BI70" s="79"/>
      <c r="BJ70" s="79"/>
      <c r="BK70" s="79"/>
      <c r="BL70" s="79"/>
      <c r="BM70" s="265" t="s">
        <v>782</v>
      </c>
    </row>
    <row r="71" spans="1:65" x14ac:dyDescent="0.2">
      <c r="A71" s="257"/>
      <c r="B71" s="257"/>
      <c r="C71" s="257"/>
      <c r="D71" s="87">
        <v>228</v>
      </c>
      <c r="E71" s="257"/>
      <c r="F71" s="88" t="s">
        <v>218</v>
      </c>
      <c r="G71" s="257"/>
      <c r="H71" s="88" t="s">
        <v>111</v>
      </c>
      <c r="I71" s="257"/>
      <c r="J71" s="225">
        <v>18</v>
      </c>
      <c r="K71" s="87"/>
      <c r="L71" s="88" t="s">
        <v>219</v>
      </c>
      <c r="M71" s="87"/>
      <c r="N71" s="87" t="s">
        <v>55</v>
      </c>
      <c r="O71" s="257"/>
      <c r="P71" s="83">
        <v>39630</v>
      </c>
      <c r="Q71" s="56">
        <v>905</v>
      </c>
      <c r="R71" s="87">
        <v>50</v>
      </c>
      <c r="S71" s="87"/>
      <c r="T71" s="87">
        <v>0</v>
      </c>
      <c r="U71" s="87"/>
      <c r="V71" s="89">
        <v>68523.33</v>
      </c>
      <c r="W71" s="87"/>
      <c r="X71" s="79">
        <v>55</v>
      </c>
      <c r="Y71" s="87"/>
      <c r="Z71" s="82">
        <v>0</v>
      </c>
      <c r="AA71" s="87"/>
      <c r="AB71" s="82">
        <v>62321</v>
      </c>
      <c r="AC71" s="257"/>
      <c r="AD71" s="82">
        <v>49016.26</v>
      </c>
      <c r="AE71" s="79"/>
      <c r="AF71" s="79"/>
      <c r="AG71" s="79"/>
      <c r="AH71" s="82">
        <v>0</v>
      </c>
      <c r="AI71" s="79"/>
      <c r="AJ71" s="82">
        <v>35266</v>
      </c>
      <c r="AK71" s="82"/>
      <c r="AL71" s="79">
        <v>26</v>
      </c>
      <c r="AM71" s="82"/>
      <c r="AN71" s="82">
        <v>0</v>
      </c>
      <c r="AO71" s="79"/>
      <c r="AP71" s="82">
        <v>26194.3</v>
      </c>
      <c r="AQ71" s="79"/>
      <c r="AR71" s="79">
        <v>14</v>
      </c>
      <c r="AS71" s="56" t="s">
        <v>216</v>
      </c>
      <c r="AT71" s="56"/>
      <c r="AU71" s="56"/>
      <c r="AV71" s="82">
        <v>0</v>
      </c>
      <c r="AW71" s="79"/>
      <c r="AX71" s="82">
        <v>24108.38</v>
      </c>
      <c r="AY71" s="82"/>
      <c r="AZ71" s="79">
        <v>16</v>
      </c>
      <c r="BA71" s="82"/>
      <c r="BB71" s="82">
        <v>0</v>
      </c>
      <c r="BC71" s="79"/>
      <c r="BD71" s="82">
        <v>16403.53</v>
      </c>
      <c r="BE71" s="79"/>
      <c r="BF71" s="79">
        <v>15</v>
      </c>
      <c r="BG71" s="327"/>
      <c r="BH71" s="327"/>
      <c r="BI71" s="327"/>
      <c r="BJ71" s="327"/>
      <c r="BK71" s="327"/>
      <c r="BL71" s="327"/>
      <c r="BM71" s="247" t="s">
        <v>797</v>
      </c>
    </row>
    <row r="72" spans="1:65" x14ac:dyDescent="0.2">
      <c r="A72" s="257"/>
      <c r="B72" s="257"/>
      <c r="C72" s="257"/>
      <c r="D72" s="87">
        <v>228</v>
      </c>
      <c r="E72" s="257"/>
      <c r="F72" s="88" t="s">
        <v>220</v>
      </c>
      <c r="G72" s="257"/>
      <c r="H72" s="88" t="s">
        <v>111</v>
      </c>
      <c r="I72" s="257"/>
      <c r="J72" s="225">
        <v>15</v>
      </c>
      <c r="K72" s="87"/>
      <c r="L72" s="88" t="s">
        <v>219</v>
      </c>
      <c r="M72" s="87"/>
      <c r="N72" s="87" t="s">
        <v>55</v>
      </c>
      <c r="O72" s="257"/>
      <c r="P72" s="83">
        <v>39630</v>
      </c>
      <c r="Q72" s="56">
        <v>905</v>
      </c>
      <c r="R72" s="87">
        <v>374</v>
      </c>
      <c r="S72" s="87"/>
      <c r="T72" s="87">
        <v>0</v>
      </c>
      <c r="U72" s="87"/>
      <c r="V72" s="89">
        <v>287185.39</v>
      </c>
      <c r="W72" s="87"/>
      <c r="X72" s="79">
        <v>337</v>
      </c>
      <c r="Y72" s="87"/>
      <c r="Z72" s="82">
        <v>0</v>
      </c>
      <c r="AA72" s="87"/>
      <c r="AB72" s="82">
        <v>289675</v>
      </c>
      <c r="AC72" s="257"/>
      <c r="AD72" s="82">
        <v>329039</v>
      </c>
      <c r="AE72" s="79"/>
      <c r="AF72" s="79"/>
      <c r="AG72" s="79"/>
      <c r="AH72" s="82">
        <v>0</v>
      </c>
      <c r="AI72" s="79"/>
      <c r="AJ72" s="82">
        <v>391819</v>
      </c>
      <c r="AK72" s="82"/>
      <c r="AL72" s="79">
        <v>337</v>
      </c>
      <c r="AM72" s="82"/>
      <c r="AN72" s="82">
        <v>0</v>
      </c>
      <c r="AO72" s="79"/>
      <c r="AP72" s="82">
        <v>525750</v>
      </c>
      <c r="AQ72" s="79"/>
      <c r="AR72" s="79">
        <v>332</v>
      </c>
      <c r="AS72" s="56" t="s">
        <v>216</v>
      </c>
      <c r="AT72" s="56"/>
      <c r="AU72" s="56"/>
      <c r="AV72" s="82">
        <v>0</v>
      </c>
      <c r="AW72" s="79"/>
      <c r="AX72" s="82">
        <v>662009.9</v>
      </c>
      <c r="AY72" s="82"/>
      <c r="AZ72" s="79">
        <v>482</v>
      </c>
      <c r="BA72" s="82"/>
      <c r="BB72" s="82">
        <v>0</v>
      </c>
      <c r="BC72" s="79"/>
      <c r="BD72" s="82">
        <v>699701.82</v>
      </c>
      <c r="BE72" s="79"/>
      <c r="BF72" s="79">
        <v>525</v>
      </c>
      <c r="BG72" s="79"/>
      <c r="BH72" s="79"/>
      <c r="BI72" s="79"/>
      <c r="BJ72" s="79"/>
      <c r="BK72" s="79"/>
      <c r="BL72" s="79"/>
      <c r="BM72" s="265" t="s">
        <v>797</v>
      </c>
    </row>
    <row r="73" spans="1:65" x14ac:dyDescent="0.2">
      <c r="A73" s="257"/>
      <c r="B73" s="257"/>
      <c r="C73" s="257"/>
      <c r="D73" s="87">
        <v>228</v>
      </c>
      <c r="E73" s="257"/>
      <c r="F73" s="88" t="s">
        <v>221</v>
      </c>
      <c r="G73" s="257"/>
      <c r="H73" s="88" t="s">
        <v>111</v>
      </c>
      <c r="I73" s="257"/>
      <c r="J73" s="225">
        <v>8</v>
      </c>
      <c r="K73" s="87"/>
      <c r="L73" s="88" t="s">
        <v>219</v>
      </c>
      <c r="M73" s="87"/>
      <c r="N73" s="87" t="s">
        <v>55</v>
      </c>
      <c r="O73" s="257"/>
      <c r="P73" s="83">
        <v>39630</v>
      </c>
      <c r="Q73" s="56">
        <v>905</v>
      </c>
      <c r="R73" s="87">
        <v>17</v>
      </c>
      <c r="S73" s="87"/>
      <c r="T73" s="87">
        <v>0</v>
      </c>
      <c r="U73" s="87"/>
      <c r="V73" s="89">
        <v>17763.349999999999</v>
      </c>
      <c r="W73" s="87"/>
      <c r="X73" s="79">
        <v>52</v>
      </c>
      <c r="Y73" s="87"/>
      <c r="Z73" s="82">
        <v>0</v>
      </c>
      <c r="AA73" s="87"/>
      <c r="AB73" s="82">
        <v>16084</v>
      </c>
      <c r="AC73" s="257"/>
      <c r="AD73" s="82">
        <v>9796</v>
      </c>
      <c r="AE73" s="79"/>
      <c r="AF73" s="79"/>
      <c r="AG73" s="79"/>
      <c r="AH73" s="82">
        <v>0</v>
      </c>
      <c r="AI73" s="79"/>
      <c r="AJ73" s="82">
        <v>24417</v>
      </c>
      <c r="AK73" s="82"/>
      <c r="AL73" s="79">
        <v>11</v>
      </c>
      <c r="AM73" s="82"/>
      <c r="AN73" s="82">
        <v>0</v>
      </c>
      <c r="AO73" s="79"/>
      <c r="AP73" s="82">
        <v>566</v>
      </c>
      <c r="AQ73" s="79"/>
      <c r="AR73" s="79">
        <v>6</v>
      </c>
      <c r="AS73" s="56" t="s">
        <v>216</v>
      </c>
      <c r="AT73" s="56"/>
      <c r="AU73" s="56"/>
      <c r="AV73" s="82">
        <v>0</v>
      </c>
      <c r="AW73" s="79"/>
      <c r="AX73" s="82">
        <v>6412.92</v>
      </c>
      <c r="AY73" s="82"/>
      <c r="AZ73" s="79">
        <v>4</v>
      </c>
      <c r="BA73" s="82"/>
      <c r="BB73" s="82">
        <v>0</v>
      </c>
      <c r="BC73" s="79"/>
      <c r="BD73" s="82">
        <v>3700.59</v>
      </c>
      <c r="BE73" s="79"/>
      <c r="BF73" s="79">
        <v>5</v>
      </c>
      <c r="BG73" s="235"/>
      <c r="BH73" s="235"/>
      <c r="BI73" s="235"/>
      <c r="BJ73" s="235"/>
      <c r="BK73" s="235"/>
      <c r="BL73" s="235"/>
      <c r="BM73" s="345" t="s">
        <v>797</v>
      </c>
    </row>
    <row r="74" spans="1:65" x14ac:dyDescent="0.2">
      <c r="A74" s="257"/>
      <c r="B74" s="257"/>
      <c r="C74" s="257"/>
      <c r="D74" s="87">
        <v>228</v>
      </c>
      <c r="E74" s="257"/>
      <c r="F74" s="88" t="s">
        <v>180</v>
      </c>
      <c r="G74" s="257"/>
      <c r="H74" s="88" t="s">
        <v>111</v>
      </c>
      <c r="I74" s="257"/>
      <c r="J74" s="225">
        <v>25</v>
      </c>
      <c r="K74" s="87"/>
      <c r="L74" s="88" t="s">
        <v>222</v>
      </c>
      <c r="M74" s="87"/>
      <c r="N74" s="87" t="s">
        <v>55</v>
      </c>
      <c r="O74" s="257"/>
      <c r="P74" s="257"/>
      <c r="Q74" s="56">
        <v>905</v>
      </c>
      <c r="R74" s="87">
        <v>21</v>
      </c>
      <c r="S74" s="87"/>
      <c r="T74" s="87">
        <v>0</v>
      </c>
      <c r="U74" s="87"/>
      <c r="V74" s="89">
        <v>2045</v>
      </c>
      <c r="W74" s="87"/>
      <c r="X74" s="79">
        <v>27</v>
      </c>
      <c r="Y74" s="87"/>
      <c r="Z74" s="82">
        <v>0</v>
      </c>
      <c r="AA74" s="87"/>
      <c r="AB74" s="82">
        <v>2640</v>
      </c>
      <c r="AC74" s="257"/>
      <c r="AD74" s="82">
        <v>3542</v>
      </c>
      <c r="AE74" s="79"/>
      <c r="AF74" s="79">
        <v>20</v>
      </c>
      <c r="AG74" s="79"/>
      <c r="AH74" s="82">
        <v>0</v>
      </c>
      <c r="AI74" s="79"/>
      <c r="AJ74" s="82">
        <v>2908</v>
      </c>
      <c r="AK74" s="82"/>
      <c r="AL74" s="79">
        <v>23</v>
      </c>
      <c r="AM74" s="82"/>
      <c r="AN74" s="82">
        <v>0</v>
      </c>
      <c r="AO74" s="79"/>
      <c r="AP74" s="82">
        <v>2153</v>
      </c>
      <c r="AQ74" s="79"/>
      <c r="AR74" s="79">
        <v>36</v>
      </c>
      <c r="AS74" s="56" t="s">
        <v>216</v>
      </c>
      <c r="AT74" s="56"/>
      <c r="AU74" s="56"/>
      <c r="AV74" s="82">
        <v>0</v>
      </c>
      <c r="AW74" s="79"/>
      <c r="AX74" s="82">
        <v>1665</v>
      </c>
      <c r="AY74" s="82"/>
      <c r="AZ74" s="79">
        <v>29</v>
      </c>
      <c r="BA74" s="82"/>
      <c r="BB74" s="82">
        <v>0</v>
      </c>
      <c r="BC74" s="79"/>
      <c r="BD74" s="82">
        <v>1165</v>
      </c>
      <c r="BE74" s="79"/>
      <c r="BF74" s="79">
        <v>22</v>
      </c>
      <c r="BG74" s="235"/>
      <c r="BH74" s="235"/>
      <c r="BI74" s="235"/>
      <c r="BJ74" s="235"/>
      <c r="BK74" s="235"/>
      <c r="BL74" s="235"/>
      <c r="BM74" s="345" t="s">
        <v>797</v>
      </c>
    </row>
    <row r="75" spans="1:65" x14ac:dyDescent="0.2">
      <c r="A75" s="257"/>
      <c r="B75" s="257"/>
      <c r="C75" s="257"/>
      <c r="D75" s="87">
        <v>228</v>
      </c>
      <c r="E75" s="257"/>
      <c r="F75" s="88" t="s">
        <v>223</v>
      </c>
      <c r="G75" s="257"/>
      <c r="H75" s="88" t="s">
        <v>111</v>
      </c>
      <c r="I75" s="257"/>
      <c r="J75" s="225">
        <v>55</v>
      </c>
      <c r="K75" s="87"/>
      <c r="L75" s="88" t="s">
        <v>222</v>
      </c>
      <c r="M75" s="87"/>
      <c r="N75" s="87" t="s">
        <v>55</v>
      </c>
      <c r="O75" s="257"/>
      <c r="P75" s="257"/>
      <c r="Q75" s="56">
        <v>905</v>
      </c>
      <c r="R75" s="87">
        <v>34</v>
      </c>
      <c r="S75" s="87"/>
      <c r="T75" s="87">
        <v>0</v>
      </c>
      <c r="U75" s="87"/>
      <c r="V75" s="89">
        <v>3255</v>
      </c>
      <c r="W75" s="87"/>
      <c r="X75" s="79">
        <v>142</v>
      </c>
      <c r="Y75" s="87"/>
      <c r="Z75" s="82">
        <v>0</v>
      </c>
      <c r="AA75" s="87"/>
      <c r="AB75" s="82">
        <v>5275</v>
      </c>
      <c r="AC75" s="257"/>
      <c r="AD75" s="82">
        <v>5008</v>
      </c>
      <c r="AE75" s="79"/>
      <c r="AF75" s="79">
        <v>51</v>
      </c>
      <c r="AG75" s="79"/>
      <c r="AH75" s="82">
        <v>0</v>
      </c>
      <c r="AI75" s="79"/>
      <c r="AJ75" s="82">
        <v>3820</v>
      </c>
      <c r="AK75" s="82"/>
      <c r="AL75" s="79">
        <v>38</v>
      </c>
      <c r="AM75" s="82"/>
      <c r="AN75" s="82">
        <v>0</v>
      </c>
      <c r="AO75" s="79"/>
      <c r="AP75" s="82">
        <v>2238</v>
      </c>
      <c r="AQ75" s="79"/>
      <c r="AR75" s="79">
        <v>27</v>
      </c>
      <c r="AS75" s="56" t="s">
        <v>216</v>
      </c>
      <c r="AT75" s="56"/>
      <c r="AU75" s="56"/>
      <c r="AV75" s="82">
        <v>0</v>
      </c>
      <c r="AW75" s="79"/>
      <c r="AX75" s="82">
        <v>3205.54</v>
      </c>
      <c r="AY75" s="82"/>
      <c r="AZ75" s="79">
        <v>32</v>
      </c>
      <c r="BA75" s="82"/>
      <c r="BB75" s="82">
        <v>0</v>
      </c>
      <c r="BC75" s="79"/>
      <c r="BD75" s="82">
        <v>3980.46</v>
      </c>
      <c r="BE75" s="79"/>
      <c r="BF75" s="79">
        <v>38</v>
      </c>
      <c r="BG75" s="235"/>
      <c r="BH75" s="235"/>
      <c r="BI75" s="235"/>
      <c r="BJ75" s="235"/>
      <c r="BK75" s="235"/>
      <c r="BL75" s="235"/>
      <c r="BM75" s="345" t="s">
        <v>797</v>
      </c>
    </row>
    <row r="76" spans="1:65" x14ac:dyDescent="0.2">
      <c r="A76" s="257"/>
      <c r="B76" s="257"/>
      <c r="C76" s="257"/>
      <c r="D76" s="87">
        <v>228</v>
      </c>
      <c r="E76" s="257"/>
      <c r="F76" s="88" t="s">
        <v>224</v>
      </c>
      <c r="G76" s="257"/>
      <c r="H76" s="88" t="s">
        <v>111</v>
      </c>
      <c r="I76" s="257"/>
      <c r="J76" s="225">
        <v>1250</v>
      </c>
      <c r="K76" s="87"/>
      <c r="L76" s="88" t="s">
        <v>225</v>
      </c>
      <c r="M76" s="87"/>
      <c r="N76" s="87" t="s">
        <v>55</v>
      </c>
      <c r="O76" s="257"/>
      <c r="P76" s="257"/>
      <c r="Q76" s="56">
        <v>905</v>
      </c>
      <c r="R76" s="87" t="s">
        <v>226</v>
      </c>
      <c r="S76" s="87"/>
      <c r="T76" s="87">
        <v>0</v>
      </c>
      <c r="U76" s="87"/>
      <c r="V76" s="89">
        <v>33020.5</v>
      </c>
      <c r="W76" s="87"/>
      <c r="X76" s="79">
        <v>846</v>
      </c>
      <c r="Y76" s="87"/>
      <c r="Z76" s="82">
        <v>0</v>
      </c>
      <c r="AA76" s="87"/>
      <c r="AB76" s="82">
        <v>46142</v>
      </c>
      <c r="AC76" s="257"/>
      <c r="AD76" s="82">
        <v>49525</v>
      </c>
      <c r="AE76" s="79"/>
      <c r="AF76" s="79" t="s">
        <v>698</v>
      </c>
      <c r="AG76" s="79"/>
      <c r="AH76" s="82">
        <v>0</v>
      </c>
      <c r="AI76" s="79"/>
      <c r="AJ76" s="82">
        <v>55513</v>
      </c>
      <c r="AK76" s="82"/>
      <c r="AL76" s="79">
        <v>146</v>
      </c>
      <c r="AM76" s="82"/>
      <c r="AN76" s="82">
        <v>0</v>
      </c>
      <c r="AO76" s="79"/>
      <c r="AP76" s="82">
        <v>49984</v>
      </c>
      <c r="AQ76" s="79">
        <v>0</v>
      </c>
      <c r="AR76" s="79">
        <v>160</v>
      </c>
      <c r="AS76" s="56" t="s">
        <v>216</v>
      </c>
      <c r="AT76" s="56"/>
      <c r="AU76" s="56"/>
      <c r="AV76" s="82">
        <v>0</v>
      </c>
      <c r="AW76" s="79"/>
      <c r="AX76" s="82">
        <v>54074.21</v>
      </c>
      <c r="AY76" s="82"/>
      <c r="AZ76" s="79">
        <v>148</v>
      </c>
      <c r="BA76" s="82"/>
      <c r="BB76" s="82">
        <v>0</v>
      </c>
      <c r="BC76" s="79"/>
      <c r="BD76" s="82">
        <v>76755.27</v>
      </c>
      <c r="BE76" s="79"/>
      <c r="BF76" s="79">
        <v>168</v>
      </c>
      <c r="BG76" s="235"/>
      <c r="BH76" s="235"/>
      <c r="BI76" s="235"/>
      <c r="BJ76" s="235"/>
      <c r="BK76" s="235"/>
      <c r="BL76" s="235"/>
      <c r="BM76" s="343" t="s">
        <v>797</v>
      </c>
    </row>
    <row r="77" spans="1:65" x14ac:dyDescent="0.2">
      <c r="A77" s="257"/>
      <c r="B77" s="257"/>
      <c r="C77" s="257"/>
      <c r="D77" s="87">
        <v>228</v>
      </c>
      <c r="E77" s="257"/>
      <c r="F77" s="88" t="s">
        <v>227</v>
      </c>
      <c r="G77" s="257"/>
      <c r="H77" s="88" t="s">
        <v>111</v>
      </c>
      <c r="I77" s="257"/>
      <c r="J77" s="225">
        <v>340</v>
      </c>
      <c r="K77" s="87"/>
      <c r="L77" s="88" t="s">
        <v>228</v>
      </c>
      <c r="M77" s="87"/>
      <c r="N77" s="87" t="s">
        <v>55</v>
      </c>
      <c r="O77" s="257"/>
      <c r="P77" s="257"/>
      <c r="Q77" s="56">
        <v>905</v>
      </c>
      <c r="R77" s="87" t="s">
        <v>229</v>
      </c>
      <c r="S77" s="87"/>
      <c r="T77" s="87">
        <v>0</v>
      </c>
      <c r="U77" s="87"/>
      <c r="V77" s="89">
        <v>60225.86</v>
      </c>
      <c r="W77" s="87"/>
      <c r="X77" s="79">
        <v>1665</v>
      </c>
      <c r="Y77" s="87"/>
      <c r="Z77" s="82">
        <v>0</v>
      </c>
      <c r="AA77" s="87"/>
      <c r="AB77" s="82">
        <v>56728</v>
      </c>
      <c r="AC77" s="257"/>
      <c r="AD77" s="82">
        <v>45340</v>
      </c>
      <c r="AE77" s="79"/>
      <c r="AF77" s="79" t="s">
        <v>699</v>
      </c>
      <c r="AG77" s="79"/>
      <c r="AH77" s="82">
        <v>0</v>
      </c>
      <c r="AI77" s="79"/>
      <c r="AJ77" s="82">
        <v>10582</v>
      </c>
      <c r="AK77" s="82"/>
      <c r="AL77" s="79">
        <v>58</v>
      </c>
      <c r="AM77" s="82"/>
      <c r="AN77" s="82">
        <v>0</v>
      </c>
      <c r="AO77" s="79"/>
      <c r="AP77" s="82">
        <v>3721</v>
      </c>
      <c r="AQ77" s="79"/>
      <c r="AR77" s="79">
        <v>22</v>
      </c>
      <c r="AS77" s="56" t="s">
        <v>216</v>
      </c>
      <c r="AT77" s="56"/>
      <c r="AU77" s="56"/>
      <c r="AV77" s="82">
        <v>0</v>
      </c>
      <c r="AW77" s="79"/>
      <c r="AX77" s="82">
        <v>2821.83</v>
      </c>
      <c r="AY77" s="82"/>
      <c r="AZ77" s="79">
        <v>14</v>
      </c>
      <c r="BA77" s="82"/>
      <c r="BB77" s="82">
        <v>0</v>
      </c>
      <c r="BC77" s="79"/>
      <c r="BD77" s="82">
        <v>1137</v>
      </c>
      <c r="BE77" s="79"/>
      <c r="BF77" s="79">
        <v>10</v>
      </c>
      <c r="BG77" s="235"/>
      <c r="BH77" s="235"/>
      <c r="BI77" s="235"/>
      <c r="BJ77" s="235"/>
      <c r="BK77" s="235"/>
      <c r="BL77" s="235"/>
      <c r="BM77" s="343" t="s">
        <v>797</v>
      </c>
    </row>
    <row r="78" spans="1:65" x14ac:dyDescent="0.2">
      <c r="A78" s="257"/>
      <c r="B78" s="257"/>
      <c r="C78" s="257"/>
      <c r="D78" s="87">
        <v>228</v>
      </c>
      <c r="E78" s="257"/>
      <c r="F78" s="88" t="s">
        <v>230</v>
      </c>
      <c r="G78" s="257"/>
      <c r="H78" s="88" t="s">
        <v>111</v>
      </c>
      <c r="I78" s="257"/>
      <c r="J78" s="225">
        <v>500</v>
      </c>
      <c r="K78" s="87"/>
      <c r="L78" s="88" t="s">
        <v>231</v>
      </c>
      <c r="M78" s="87"/>
      <c r="N78" s="87" t="s">
        <v>55</v>
      </c>
      <c r="O78" s="257"/>
      <c r="P78" s="257"/>
      <c r="Q78" s="56">
        <v>905</v>
      </c>
      <c r="R78" s="87" t="s">
        <v>232</v>
      </c>
      <c r="S78" s="87"/>
      <c r="T78" s="87">
        <v>0</v>
      </c>
      <c r="U78" s="87"/>
      <c r="V78" s="89">
        <v>21384</v>
      </c>
      <c r="W78" s="87"/>
      <c r="X78" s="79">
        <v>596</v>
      </c>
      <c r="Y78" s="87"/>
      <c r="Z78" s="82">
        <v>0</v>
      </c>
      <c r="AA78" s="87"/>
      <c r="AB78" s="82">
        <v>19275</v>
      </c>
      <c r="AC78" s="257"/>
      <c r="AD78" s="82">
        <v>25957</v>
      </c>
      <c r="AE78" s="79"/>
      <c r="AF78" s="79" t="s">
        <v>700</v>
      </c>
      <c r="AG78" s="79"/>
      <c r="AH78" s="82">
        <v>0</v>
      </c>
      <c r="AI78" s="79"/>
      <c r="AJ78" s="82">
        <v>46463</v>
      </c>
      <c r="AK78" s="82"/>
      <c r="AL78" s="79">
        <v>206</v>
      </c>
      <c r="AM78" s="82"/>
      <c r="AN78" s="82">
        <v>0</v>
      </c>
      <c r="AO78" s="79"/>
      <c r="AP78" s="82">
        <v>56788</v>
      </c>
      <c r="AQ78" s="79"/>
      <c r="AR78" s="79">
        <v>258</v>
      </c>
      <c r="AS78" s="56" t="s">
        <v>216</v>
      </c>
      <c r="AT78" s="56"/>
      <c r="AU78" s="56"/>
      <c r="AV78" s="82">
        <v>0</v>
      </c>
      <c r="AW78" s="79"/>
      <c r="AX78" s="82">
        <v>63380.9</v>
      </c>
      <c r="AY78" s="82"/>
      <c r="AZ78" s="79">
        <v>196</v>
      </c>
      <c r="BA78" s="82"/>
      <c r="BB78" s="82">
        <v>0</v>
      </c>
      <c r="BC78" s="79"/>
      <c r="BD78" s="82">
        <v>56025.72</v>
      </c>
      <c r="BE78" s="79"/>
      <c r="BF78" s="79">
        <v>65</v>
      </c>
      <c r="BG78" s="235"/>
      <c r="BH78" s="235"/>
      <c r="BI78" s="235"/>
      <c r="BJ78" s="235"/>
      <c r="BK78" s="235"/>
      <c r="BL78" s="235"/>
      <c r="BM78" s="343" t="s">
        <v>797</v>
      </c>
    </row>
    <row r="79" spans="1:65" x14ac:dyDescent="0.2">
      <c r="A79" s="257"/>
      <c r="B79" s="257"/>
      <c r="C79" s="257"/>
      <c r="D79" s="87">
        <v>228</v>
      </c>
      <c r="E79" s="257"/>
      <c r="F79" s="88" t="s">
        <v>233</v>
      </c>
      <c r="G79" s="257"/>
      <c r="H79" s="88" t="s">
        <v>111</v>
      </c>
      <c r="I79" s="257"/>
      <c r="J79" s="225">
        <v>340</v>
      </c>
      <c r="K79" s="87"/>
      <c r="L79" s="88" t="s">
        <v>228</v>
      </c>
      <c r="M79" s="87"/>
      <c r="N79" s="87" t="s">
        <v>55</v>
      </c>
      <c r="O79" s="257"/>
      <c r="P79" s="257"/>
      <c r="Q79" s="56">
        <v>905</v>
      </c>
      <c r="R79" s="87" t="s">
        <v>234</v>
      </c>
      <c r="S79" s="87"/>
      <c r="T79" s="87">
        <v>0</v>
      </c>
      <c r="U79" s="87"/>
      <c r="V79" s="89">
        <v>13359</v>
      </c>
      <c r="W79" s="87"/>
      <c r="X79" s="79">
        <v>435</v>
      </c>
      <c r="Y79" s="87"/>
      <c r="Z79" s="82">
        <v>0</v>
      </c>
      <c r="AA79" s="87"/>
      <c r="AB79" s="82">
        <v>11414</v>
      </c>
      <c r="AC79" s="257"/>
      <c r="AD79" s="82">
        <v>6355</v>
      </c>
      <c r="AE79" s="79"/>
      <c r="AF79" s="79" t="s">
        <v>701</v>
      </c>
      <c r="AG79" s="79"/>
      <c r="AH79" s="82">
        <v>0</v>
      </c>
      <c r="AI79" s="79"/>
      <c r="AJ79" s="82">
        <v>9499</v>
      </c>
      <c r="AK79" s="82"/>
      <c r="AL79" s="79">
        <v>42</v>
      </c>
      <c r="AM79" s="82"/>
      <c r="AN79" s="82">
        <v>0</v>
      </c>
      <c r="AO79" s="79"/>
      <c r="AP79" s="82">
        <v>7339</v>
      </c>
      <c r="AQ79" s="79"/>
      <c r="AR79" s="79">
        <v>31</v>
      </c>
      <c r="AS79" s="56" t="s">
        <v>216</v>
      </c>
      <c r="AT79" s="56"/>
      <c r="AU79" s="56"/>
      <c r="AV79" s="82">
        <v>0</v>
      </c>
      <c r="AW79" s="79"/>
      <c r="AX79" s="82">
        <v>4778</v>
      </c>
      <c r="AY79" s="82"/>
      <c r="AZ79" s="79">
        <v>14</v>
      </c>
      <c r="BA79" s="82"/>
      <c r="BB79" s="82">
        <v>0</v>
      </c>
      <c r="BC79" s="79"/>
      <c r="BD79" s="82">
        <v>4977</v>
      </c>
      <c r="BE79" s="79"/>
      <c r="BF79" s="79">
        <v>7</v>
      </c>
      <c r="BG79" s="79"/>
      <c r="BH79" s="79"/>
      <c r="BI79" s="79"/>
      <c r="BJ79" s="79"/>
      <c r="BK79" s="79"/>
      <c r="BL79" s="79"/>
      <c r="BM79" s="315" t="s">
        <v>797</v>
      </c>
    </row>
    <row r="80" spans="1:65" x14ac:dyDescent="0.2">
      <c r="A80" s="257"/>
      <c r="B80" s="257"/>
      <c r="C80" s="257"/>
      <c r="D80" s="87">
        <v>228</v>
      </c>
      <c r="E80" s="257"/>
      <c r="F80" s="88" t="s">
        <v>235</v>
      </c>
      <c r="G80" s="257"/>
      <c r="H80" s="88" t="s">
        <v>111</v>
      </c>
      <c r="I80" s="257"/>
      <c r="J80" s="225">
        <v>160</v>
      </c>
      <c r="K80" s="87"/>
      <c r="L80" s="88" t="s">
        <v>228</v>
      </c>
      <c r="M80" s="87"/>
      <c r="N80" s="87" t="s">
        <v>55</v>
      </c>
      <c r="O80" s="257"/>
      <c r="P80" s="257"/>
      <c r="Q80" s="56">
        <v>905</v>
      </c>
      <c r="R80" s="87" t="s">
        <v>236</v>
      </c>
      <c r="S80" s="87"/>
      <c r="T80" s="87">
        <v>0</v>
      </c>
      <c r="U80" s="87"/>
      <c r="V80" s="89">
        <v>2523</v>
      </c>
      <c r="W80" s="87"/>
      <c r="X80" s="79">
        <v>14</v>
      </c>
      <c r="Y80" s="87"/>
      <c r="Z80" s="82">
        <v>0</v>
      </c>
      <c r="AA80" s="87"/>
      <c r="AB80" s="82">
        <v>1830</v>
      </c>
      <c r="AC80" s="257"/>
      <c r="AD80" s="82">
        <v>580</v>
      </c>
      <c r="AE80" s="79"/>
      <c r="AF80" s="79" t="s">
        <v>702</v>
      </c>
      <c r="AG80" s="79"/>
      <c r="AH80" s="82">
        <v>0</v>
      </c>
      <c r="AI80" s="79"/>
      <c r="AJ80" s="82">
        <v>0</v>
      </c>
      <c r="AK80" s="82"/>
      <c r="AL80" s="79">
        <v>0</v>
      </c>
      <c r="AM80" s="82"/>
      <c r="AN80" s="82">
        <v>0</v>
      </c>
      <c r="AO80" s="79"/>
      <c r="AP80" s="82">
        <v>0</v>
      </c>
      <c r="AQ80" s="79"/>
      <c r="AR80" s="79">
        <v>0</v>
      </c>
      <c r="AS80" s="56" t="s">
        <v>216</v>
      </c>
      <c r="AT80" s="56"/>
      <c r="AU80" s="56"/>
      <c r="AV80" s="82">
        <v>0</v>
      </c>
      <c r="AW80" s="79"/>
      <c r="AX80" s="82">
        <v>0</v>
      </c>
      <c r="AY80" s="82"/>
      <c r="AZ80" s="79">
        <v>0</v>
      </c>
      <c r="BA80" s="82"/>
      <c r="BB80" s="82">
        <v>0</v>
      </c>
      <c r="BC80" s="79"/>
      <c r="BD80" s="82">
        <v>160</v>
      </c>
      <c r="BE80" s="79"/>
      <c r="BF80" s="79">
        <v>1</v>
      </c>
      <c r="BG80" s="327"/>
      <c r="BH80" s="327"/>
      <c r="BI80" s="327"/>
      <c r="BJ80" s="327"/>
      <c r="BK80" s="327"/>
      <c r="BL80" s="327"/>
      <c r="BM80" s="155" t="s">
        <v>797</v>
      </c>
    </row>
    <row r="81" spans="1:65" x14ac:dyDescent="0.2">
      <c r="A81" s="257"/>
      <c r="B81" s="257"/>
      <c r="C81" s="257"/>
      <c r="D81" s="87">
        <v>228</v>
      </c>
      <c r="E81" s="257"/>
      <c r="F81" s="88" t="s">
        <v>237</v>
      </c>
      <c r="G81" s="257"/>
      <c r="H81" s="88" t="s">
        <v>111</v>
      </c>
      <c r="I81" s="257"/>
      <c r="J81" s="225">
        <v>1.25</v>
      </c>
      <c r="K81" s="87"/>
      <c r="L81" s="88" t="s">
        <v>238</v>
      </c>
      <c r="M81" s="87"/>
      <c r="N81" s="87" t="s">
        <v>55</v>
      </c>
      <c r="O81" s="257"/>
      <c r="P81" s="257"/>
      <c r="Q81" s="56">
        <v>905</v>
      </c>
      <c r="R81" s="87" t="s">
        <v>239</v>
      </c>
      <c r="S81" s="87"/>
      <c r="T81" s="87">
        <v>0</v>
      </c>
      <c r="U81" s="87"/>
      <c r="V81" s="89">
        <v>8773.26</v>
      </c>
      <c r="W81" s="87"/>
      <c r="X81" s="79">
        <v>271</v>
      </c>
      <c r="Y81" s="87"/>
      <c r="Z81" s="82">
        <v>0</v>
      </c>
      <c r="AA81" s="87"/>
      <c r="AB81" s="82">
        <v>5393</v>
      </c>
      <c r="AC81" s="257"/>
      <c r="AD81" s="82">
        <v>9966.9</v>
      </c>
      <c r="AE81" s="79"/>
      <c r="AF81" s="79" t="s">
        <v>703</v>
      </c>
      <c r="AG81" s="79"/>
      <c r="AH81" s="82">
        <v>0</v>
      </c>
      <c r="AI81" s="79"/>
      <c r="AJ81" s="82">
        <v>5468.23</v>
      </c>
      <c r="AK81" s="82"/>
      <c r="AL81" s="79" t="s">
        <v>698</v>
      </c>
      <c r="AM81" s="82"/>
      <c r="AN81" s="82">
        <v>0</v>
      </c>
      <c r="AO81" s="79"/>
      <c r="AP81" s="82">
        <v>4639.4799999999996</v>
      </c>
      <c r="AQ81" s="79"/>
      <c r="AR81" s="79" t="s">
        <v>759</v>
      </c>
      <c r="AS81" s="56" t="s">
        <v>216</v>
      </c>
      <c r="AT81" s="56"/>
      <c r="AU81" s="56"/>
      <c r="AV81" s="82">
        <v>0</v>
      </c>
      <c r="AW81" s="79"/>
      <c r="AX81" s="82">
        <v>4646.18</v>
      </c>
      <c r="AY81" s="82"/>
      <c r="AZ81" s="79" t="s">
        <v>809</v>
      </c>
      <c r="BA81" s="82"/>
      <c r="BB81" s="82">
        <v>0</v>
      </c>
      <c r="BC81" s="79"/>
      <c r="BD81" s="82">
        <v>3601.84</v>
      </c>
      <c r="BE81" s="79"/>
      <c r="BF81" s="79" t="s">
        <v>810</v>
      </c>
      <c r="BG81" s="79"/>
      <c r="BH81" s="79"/>
      <c r="BI81" s="79"/>
      <c r="BJ81" s="79"/>
      <c r="BK81" s="79"/>
      <c r="BL81" s="79"/>
      <c r="BM81" s="315" t="s">
        <v>797</v>
      </c>
    </row>
    <row r="82" spans="1:65" x14ac:dyDescent="0.2">
      <c r="A82" s="257"/>
      <c r="B82" s="257"/>
      <c r="C82" s="257"/>
      <c r="D82" s="87">
        <v>228</v>
      </c>
      <c r="E82" s="257"/>
      <c r="F82" s="88" t="s">
        <v>240</v>
      </c>
      <c r="G82" s="257"/>
      <c r="H82" s="88" t="s">
        <v>111</v>
      </c>
      <c r="I82" s="257"/>
      <c r="J82" s="225">
        <v>40</v>
      </c>
      <c r="K82" s="87"/>
      <c r="L82" s="88" t="s">
        <v>241</v>
      </c>
      <c r="M82" s="87"/>
      <c r="N82" s="87" t="s">
        <v>55</v>
      </c>
      <c r="O82" s="257"/>
      <c r="P82" s="257"/>
      <c r="Q82" s="56">
        <v>905</v>
      </c>
      <c r="R82" s="87" t="s">
        <v>242</v>
      </c>
      <c r="S82" s="87"/>
      <c r="T82" s="87">
        <v>0</v>
      </c>
      <c r="U82" s="87"/>
      <c r="V82" s="89">
        <v>7616.3</v>
      </c>
      <c r="W82" s="87"/>
      <c r="X82" s="79">
        <v>417</v>
      </c>
      <c r="Y82" s="87"/>
      <c r="Z82" s="82">
        <v>0</v>
      </c>
      <c r="AA82" s="87"/>
      <c r="AB82" s="82">
        <v>7215</v>
      </c>
      <c r="AC82" s="257"/>
      <c r="AD82" s="82">
        <v>11818</v>
      </c>
      <c r="AE82" s="79"/>
      <c r="AF82" s="79" t="s">
        <v>704</v>
      </c>
      <c r="AG82" s="79"/>
      <c r="AH82" s="82">
        <v>0</v>
      </c>
      <c r="AI82" s="79"/>
      <c r="AJ82" s="82">
        <v>15285</v>
      </c>
      <c r="AK82" s="82"/>
      <c r="AL82" s="79" t="s">
        <v>760</v>
      </c>
      <c r="AM82" s="82"/>
      <c r="AN82" s="82">
        <v>0</v>
      </c>
      <c r="AO82" s="79"/>
      <c r="AP82" s="82">
        <v>18902</v>
      </c>
      <c r="AQ82" s="79"/>
      <c r="AR82" s="79" t="s">
        <v>761</v>
      </c>
      <c r="AS82" s="56" t="s">
        <v>216</v>
      </c>
      <c r="AT82" s="56"/>
      <c r="AU82" s="56"/>
      <c r="AV82" s="82">
        <v>0</v>
      </c>
      <c r="AW82" s="79"/>
      <c r="AX82" s="82">
        <v>13569.11</v>
      </c>
      <c r="AY82" s="82"/>
      <c r="AZ82" s="79" t="s">
        <v>811</v>
      </c>
      <c r="BA82" s="82"/>
      <c r="BB82" s="82">
        <v>0</v>
      </c>
      <c r="BC82" s="79"/>
      <c r="BD82" s="82">
        <v>13086.36</v>
      </c>
      <c r="BE82" s="79"/>
      <c r="BF82" s="79" t="s">
        <v>812</v>
      </c>
      <c r="BG82" s="327"/>
      <c r="BH82" s="327"/>
      <c r="BI82" s="327"/>
      <c r="BJ82" s="327"/>
      <c r="BK82" s="327"/>
      <c r="BL82" s="327"/>
      <c r="BM82" s="155" t="s">
        <v>797</v>
      </c>
    </row>
    <row r="83" spans="1:65" ht="22.5" x14ac:dyDescent="0.2">
      <c r="A83" s="257"/>
      <c r="B83" s="257" t="s">
        <v>243</v>
      </c>
      <c r="C83" s="257"/>
      <c r="D83" s="87">
        <v>238</v>
      </c>
      <c r="E83" s="257"/>
      <c r="F83" s="88" t="s">
        <v>244</v>
      </c>
      <c r="G83" s="257"/>
      <c r="H83" s="88" t="s">
        <v>53</v>
      </c>
      <c r="I83" s="257"/>
      <c r="J83" s="225">
        <v>100</v>
      </c>
      <c r="K83" s="87"/>
      <c r="L83" s="88" t="s">
        <v>41</v>
      </c>
      <c r="M83" s="87"/>
      <c r="N83" s="87" t="s">
        <v>246</v>
      </c>
      <c r="O83" s="257"/>
      <c r="P83" s="257">
        <v>2004</v>
      </c>
      <c r="Q83" s="56" t="s">
        <v>247</v>
      </c>
      <c r="R83" s="87" t="s">
        <v>245</v>
      </c>
      <c r="S83" s="87"/>
      <c r="T83" s="87">
        <v>0</v>
      </c>
      <c r="U83" s="87"/>
      <c r="V83" s="89">
        <v>56440</v>
      </c>
      <c r="W83" s="87"/>
      <c r="X83" s="79"/>
      <c r="Y83" s="87"/>
      <c r="Z83" s="82">
        <v>0</v>
      </c>
      <c r="AA83" s="87"/>
      <c r="AB83" s="82">
        <v>51900</v>
      </c>
      <c r="AC83" s="257"/>
      <c r="AD83" s="82">
        <v>66700</v>
      </c>
      <c r="AE83" s="79"/>
      <c r="AF83" s="79">
        <v>667</v>
      </c>
      <c r="AG83" s="79"/>
      <c r="AH83" s="82">
        <v>0</v>
      </c>
      <c r="AI83" s="79"/>
      <c r="AJ83" s="82">
        <v>71600</v>
      </c>
      <c r="AK83" s="82"/>
      <c r="AL83" s="79">
        <v>716</v>
      </c>
      <c r="AM83" s="82"/>
      <c r="AN83" s="82">
        <v>0</v>
      </c>
      <c r="AO83" s="79"/>
      <c r="AP83" s="82">
        <v>65800</v>
      </c>
      <c r="AQ83" s="79"/>
      <c r="AR83" s="79">
        <v>658</v>
      </c>
      <c r="AS83" s="56" t="s">
        <v>248</v>
      </c>
      <c r="AT83" s="56"/>
      <c r="AU83" s="56"/>
      <c r="AV83" s="82"/>
      <c r="AW83" s="79"/>
      <c r="AX83" s="82">
        <v>66408</v>
      </c>
      <c r="AY83" s="82"/>
      <c r="AZ83" s="79">
        <v>664</v>
      </c>
      <c r="BA83" s="82"/>
      <c r="BB83" s="82"/>
      <c r="BC83" s="79"/>
      <c r="BD83" s="82">
        <v>70303</v>
      </c>
      <c r="BE83" s="79"/>
      <c r="BF83" s="79">
        <v>703</v>
      </c>
      <c r="BG83" s="79"/>
      <c r="BH83" s="79"/>
      <c r="BI83" s="79"/>
      <c r="BJ83" s="79"/>
      <c r="BK83" s="79"/>
      <c r="BL83" s="79"/>
      <c r="BM83" s="315" t="s">
        <v>782</v>
      </c>
    </row>
    <row r="84" spans="1:65" ht="33.75" x14ac:dyDescent="0.2">
      <c r="A84" s="257"/>
      <c r="B84" s="257" t="s">
        <v>249</v>
      </c>
      <c r="C84" s="257"/>
      <c r="D84" s="87">
        <v>242</v>
      </c>
      <c r="E84" s="257"/>
      <c r="F84" s="88" t="s">
        <v>250</v>
      </c>
      <c r="G84" s="257"/>
      <c r="H84" s="88" t="s">
        <v>53</v>
      </c>
      <c r="I84" s="257"/>
      <c r="J84" s="225" t="s">
        <v>251</v>
      </c>
      <c r="K84" s="87"/>
      <c r="L84" s="88"/>
      <c r="M84" s="87"/>
      <c r="N84" s="87" t="s">
        <v>55</v>
      </c>
      <c r="O84" s="257"/>
      <c r="P84" s="257"/>
      <c r="Q84" s="56">
        <v>904.10799999999995</v>
      </c>
      <c r="R84" s="90">
        <v>1060</v>
      </c>
      <c r="S84" s="87"/>
      <c r="T84" s="87">
        <v>0</v>
      </c>
      <c r="U84" s="87"/>
      <c r="V84" s="89">
        <v>45404</v>
      </c>
      <c r="W84" s="87"/>
      <c r="X84" s="79">
        <v>971</v>
      </c>
      <c r="Y84" s="87"/>
      <c r="Z84" s="82">
        <v>0</v>
      </c>
      <c r="AA84" s="87"/>
      <c r="AB84" s="82">
        <v>44976</v>
      </c>
      <c r="AC84" s="257"/>
      <c r="AD84" s="82">
        <v>45920.71</v>
      </c>
      <c r="AE84" s="79"/>
      <c r="AF84" s="79">
        <v>962</v>
      </c>
      <c r="AG84" s="79"/>
      <c r="AH84" s="82">
        <v>0</v>
      </c>
      <c r="AI84" s="79"/>
      <c r="AJ84" s="82">
        <v>41135</v>
      </c>
      <c r="AK84" s="82"/>
      <c r="AL84" s="79">
        <v>1905</v>
      </c>
      <c r="AM84" s="82"/>
      <c r="AN84" s="82">
        <v>0</v>
      </c>
      <c r="AO84" s="79"/>
      <c r="AP84" s="82">
        <v>38755</v>
      </c>
      <c r="AQ84" s="79"/>
      <c r="AR84" s="79">
        <v>1594</v>
      </c>
      <c r="AS84" s="56" t="s">
        <v>673</v>
      </c>
      <c r="AT84" s="56"/>
      <c r="AU84" s="56" t="s">
        <v>252</v>
      </c>
      <c r="AV84" s="82">
        <v>0</v>
      </c>
      <c r="AW84" s="79"/>
      <c r="AX84" s="82">
        <v>38960</v>
      </c>
      <c r="AY84" s="82"/>
      <c r="AZ84" s="79">
        <v>1410</v>
      </c>
      <c r="BA84" s="82"/>
      <c r="BB84" s="82">
        <v>0</v>
      </c>
      <c r="BC84" s="79"/>
      <c r="BD84" s="82">
        <v>41756</v>
      </c>
      <c r="BE84" s="79"/>
      <c r="BF84" s="79">
        <v>1398</v>
      </c>
      <c r="BG84" s="327"/>
      <c r="BH84" s="327"/>
      <c r="BI84" s="327"/>
      <c r="BJ84" s="327"/>
      <c r="BK84" s="327"/>
      <c r="BL84" s="327"/>
      <c r="BM84" s="155" t="s">
        <v>782</v>
      </c>
    </row>
    <row r="85" spans="1:65" x14ac:dyDescent="0.2">
      <c r="A85" s="257"/>
      <c r="B85" s="257"/>
      <c r="C85" s="257"/>
      <c r="D85" s="87">
        <v>242</v>
      </c>
      <c r="E85" s="257"/>
      <c r="F85" s="88" t="s">
        <v>253</v>
      </c>
      <c r="G85" s="257"/>
      <c r="H85" s="88" t="s">
        <v>254</v>
      </c>
      <c r="I85" s="257"/>
      <c r="J85" s="225">
        <v>400</v>
      </c>
      <c r="K85" s="87"/>
      <c r="L85" s="88" t="s">
        <v>255</v>
      </c>
      <c r="M85" s="87"/>
      <c r="N85" s="87" t="s">
        <v>55</v>
      </c>
      <c r="O85" s="257"/>
      <c r="P85" s="257">
        <v>2010</v>
      </c>
      <c r="Q85" s="56">
        <v>904</v>
      </c>
      <c r="R85" s="87">
        <v>1</v>
      </c>
      <c r="S85" s="87"/>
      <c r="T85" s="87">
        <v>0</v>
      </c>
      <c r="U85" s="87"/>
      <c r="V85" s="89">
        <v>4800</v>
      </c>
      <c r="W85" s="87"/>
      <c r="X85" s="79">
        <v>1</v>
      </c>
      <c r="Y85" s="87"/>
      <c r="Z85" s="82">
        <v>0</v>
      </c>
      <c r="AA85" s="87"/>
      <c r="AB85" s="82">
        <v>5521</v>
      </c>
      <c r="AC85" s="257"/>
      <c r="AD85" s="82">
        <v>6000</v>
      </c>
      <c r="AE85" s="79"/>
      <c r="AF85" s="79">
        <v>1</v>
      </c>
      <c r="AG85" s="79"/>
      <c r="AH85" s="82">
        <v>0</v>
      </c>
      <c r="AI85" s="79"/>
      <c r="AJ85" s="82">
        <v>6000</v>
      </c>
      <c r="AK85" s="82"/>
      <c r="AL85" s="79">
        <v>1</v>
      </c>
      <c r="AM85" s="82"/>
      <c r="AN85" s="82">
        <v>0</v>
      </c>
      <c r="AO85" s="79"/>
      <c r="AP85" s="82">
        <v>4985</v>
      </c>
      <c r="AQ85" s="79"/>
      <c r="AR85" s="79">
        <v>1</v>
      </c>
      <c r="AS85" s="56" t="s">
        <v>765</v>
      </c>
      <c r="AT85" s="56"/>
      <c r="AU85" s="56" t="s">
        <v>256</v>
      </c>
      <c r="AV85" s="82">
        <v>0</v>
      </c>
      <c r="AW85" s="79"/>
      <c r="AX85" s="82">
        <v>4800</v>
      </c>
      <c r="AY85" s="82"/>
      <c r="AZ85" s="79">
        <v>1</v>
      </c>
      <c r="BA85" s="82"/>
      <c r="BB85" s="82">
        <v>0</v>
      </c>
      <c r="BC85" s="79"/>
      <c r="BD85" s="82">
        <v>4800</v>
      </c>
      <c r="BE85" s="79"/>
      <c r="BF85" s="79">
        <v>1</v>
      </c>
      <c r="BG85" s="79"/>
      <c r="BH85" s="79"/>
      <c r="BI85" s="79"/>
      <c r="BJ85" s="79"/>
      <c r="BK85" s="79"/>
      <c r="BL85" s="79"/>
      <c r="BM85" s="315" t="s">
        <v>797</v>
      </c>
    </row>
    <row r="86" spans="1:65" x14ac:dyDescent="0.2">
      <c r="A86" s="257"/>
      <c r="B86" s="257"/>
      <c r="C86" s="257"/>
      <c r="D86" s="87">
        <v>242</v>
      </c>
      <c r="E86" s="257"/>
      <c r="F86" s="88" t="s">
        <v>136</v>
      </c>
      <c r="G86" s="257"/>
      <c r="H86" s="88" t="s">
        <v>257</v>
      </c>
      <c r="I86" s="257"/>
      <c r="J86" s="225">
        <v>8500</v>
      </c>
      <c r="K86" s="87"/>
      <c r="L86" s="88" t="s">
        <v>255</v>
      </c>
      <c r="M86" s="87"/>
      <c r="N86" s="87" t="s">
        <v>55</v>
      </c>
      <c r="O86" s="257"/>
      <c r="P86" s="257">
        <v>2010</v>
      </c>
      <c r="Q86" s="56" t="s">
        <v>83</v>
      </c>
      <c r="R86" s="87">
        <v>2</v>
      </c>
      <c r="S86" s="87"/>
      <c r="T86" s="87">
        <v>0</v>
      </c>
      <c r="U86" s="87"/>
      <c r="V86" s="89">
        <v>106790.51</v>
      </c>
      <c r="W86" s="87"/>
      <c r="X86" s="79">
        <v>2</v>
      </c>
      <c r="Y86" s="87"/>
      <c r="Z86" s="82">
        <v>0</v>
      </c>
      <c r="AA86" s="87"/>
      <c r="AB86" s="82">
        <v>113837</v>
      </c>
      <c r="AC86" s="257"/>
      <c r="AD86" s="82">
        <v>142944</v>
      </c>
      <c r="AE86" s="79"/>
      <c r="AF86" s="79">
        <v>47648</v>
      </c>
      <c r="AG86" s="79"/>
      <c r="AH86" s="82">
        <v>0</v>
      </c>
      <c r="AI86" s="79"/>
      <c r="AJ86" s="82">
        <v>152699</v>
      </c>
      <c r="AK86" s="82"/>
      <c r="AL86" s="79">
        <v>53478</v>
      </c>
      <c r="AM86" s="82"/>
      <c r="AN86" s="82">
        <v>0</v>
      </c>
      <c r="AO86" s="79"/>
      <c r="AP86" s="82">
        <v>132699</v>
      </c>
      <c r="AQ86" s="79"/>
      <c r="AR86" s="79">
        <v>46717</v>
      </c>
      <c r="AS86" s="56" t="s">
        <v>765</v>
      </c>
      <c r="AT86" s="56"/>
      <c r="AU86" s="56" t="s">
        <v>258</v>
      </c>
      <c r="AV86" s="82">
        <v>0</v>
      </c>
      <c r="AW86" s="79"/>
      <c r="AX86" s="82">
        <v>129558</v>
      </c>
      <c r="AY86" s="82"/>
      <c r="AZ86" s="79">
        <v>44535</v>
      </c>
      <c r="BA86" s="82"/>
      <c r="BB86" s="82">
        <v>0</v>
      </c>
      <c r="BC86" s="79"/>
      <c r="BD86" s="82">
        <v>159278</v>
      </c>
      <c r="BE86" s="79"/>
      <c r="BF86" s="79">
        <v>50493</v>
      </c>
      <c r="BG86" s="327"/>
      <c r="BH86" s="327"/>
      <c r="BI86" s="327"/>
      <c r="BJ86" s="327"/>
      <c r="BK86" s="327"/>
      <c r="BL86" s="327"/>
      <c r="BM86" s="155" t="s">
        <v>797</v>
      </c>
    </row>
    <row r="87" spans="1:65" x14ac:dyDescent="0.2">
      <c r="A87" s="257"/>
      <c r="B87" s="257"/>
      <c r="C87" s="257"/>
      <c r="D87" s="87">
        <v>242</v>
      </c>
      <c r="E87" s="257"/>
      <c r="F87" s="88" t="s">
        <v>259</v>
      </c>
      <c r="G87" s="257"/>
      <c r="H87" s="88" t="s">
        <v>260</v>
      </c>
      <c r="I87" s="257"/>
      <c r="J87" s="225">
        <v>2</v>
      </c>
      <c r="K87" s="87"/>
      <c r="L87" s="88" t="s">
        <v>261</v>
      </c>
      <c r="M87" s="87"/>
      <c r="N87" s="87" t="s">
        <v>55</v>
      </c>
      <c r="O87" s="257"/>
      <c r="P87" s="257">
        <v>2010</v>
      </c>
      <c r="Q87" s="56">
        <v>904</v>
      </c>
      <c r="R87" s="87">
        <v>595</v>
      </c>
      <c r="S87" s="87"/>
      <c r="T87" s="87">
        <v>0</v>
      </c>
      <c r="U87" s="87"/>
      <c r="V87" s="89">
        <v>1190</v>
      </c>
      <c r="W87" s="87"/>
      <c r="X87" s="79">
        <v>295</v>
      </c>
      <c r="Y87" s="87"/>
      <c r="Z87" s="82">
        <v>0</v>
      </c>
      <c r="AA87" s="87"/>
      <c r="AB87" s="82">
        <v>590</v>
      </c>
      <c r="AC87" s="257"/>
      <c r="AD87" s="82">
        <v>882</v>
      </c>
      <c r="AE87" s="79"/>
      <c r="AF87" s="79">
        <v>441</v>
      </c>
      <c r="AG87" s="79"/>
      <c r="AH87" s="82">
        <v>0</v>
      </c>
      <c r="AI87" s="79"/>
      <c r="AJ87" s="82">
        <v>156</v>
      </c>
      <c r="AK87" s="82"/>
      <c r="AL87" s="79">
        <v>78</v>
      </c>
      <c r="AM87" s="82"/>
      <c r="AN87" s="82">
        <v>0</v>
      </c>
      <c r="AO87" s="79"/>
      <c r="AP87" s="82">
        <v>86</v>
      </c>
      <c r="AQ87" s="79"/>
      <c r="AR87" s="79">
        <v>43</v>
      </c>
      <c r="AS87" s="56" t="s">
        <v>262</v>
      </c>
      <c r="AT87" s="56"/>
      <c r="AU87" s="56" t="s">
        <v>263</v>
      </c>
      <c r="AV87" s="82">
        <v>0</v>
      </c>
      <c r="AW87" s="79"/>
      <c r="AX87" s="82">
        <v>50</v>
      </c>
      <c r="AY87" s="82"/>
      <c r="AZ87" s="79">
        <v>25</v>
      </c>
      <c r="BA87" s="82"/>
      <c r="BB87" s="82">
        <v>0</v>
      </c>
      <c r="BC87" s="79"/>
      <c r="BD87" s="82">
        <v>58</v>
      </c>
      <c r="BE87" s="79"/>
      <c r="BF87" s="79">
        <v>29</v>
      </c>
      <c r="BG87" s="79"/>
      <c r="BH87" s="79"/>
      <c r="BI87" s="79"/>
      <c r="BJ87" s="79"/>
      <c r="BK87" s="79"/>
      <c r="BL87" s="79"/>
      <c r="BM87" s="315" t="s">
        <v>797</v>
      </c>
    </row>
    <row r="88" spans="1:65" ht="22.5" x14ac:dyDescent="0.2">
      <c r="A88" s="257"/>
      <c r="B88" s="257"/>
      <c r="C88" s="257"/>
      <c r="D88" s="87">
        <v>242</v>
      </c>
      <c r="E88" s="257"/>
      <c r="F88" s="88" t="s">
        <v>264</v>
      </c>
      <c r="G88" s="257"/>
      <c r="H88" s="88" t="s">
        <v>53</v>
      </c>
      <c r="I88" s="257"/>
      <c r="J88" s="225">
        <v>3</v>
      </c>
      <c r="K88" s="87"/>
      <c r="L88" s="88" t="s">
        <v>265</v>
      </c>
      <c r="M88" s="87"/>
      <c r="N88" s="87" t="s">
        <v>55</v>
      </c>
      <c r="O88" s="257"/>
      <c r="P88" s="257"/>
      <c r="Q88" s="56">
        <v>904</v>
      </c>
      <c r="R88" s="87">
        <v>1060</v>
      </c>
      <c r="S88" s="87"/>
      <c r="T88" s="87">
        <v>0</v>
      </c>
      <c r="U88" s="87"/>
      <c r="V88" s="89">
        <v>3837</v>
      </c>
      <c r="W88" s="87"/>
      <c r="X88" s="79">
        <v>971</v>
      </c>
      <c r="Y88" s="87"/>
      <c r="Z88" s="82">
        <v>0</v>
      </c>
      <c r="AA88" s="87"/>
      <c r="AB88" s="82">
        <v>3081</v>
      </c>
      <c r="AC88" s="257"/>
      <c r="AD88" s="82">
        <v>3468</v>
      </c>
      <c r="AE88" s="79"/>
      <c r="AF88" s="79">
        <v>1156</v>
      </c>
      <c r="AG88" s="79"/>
      <c r="AH88" s="82">
        <v>0</v>
      </c>
      <c r="AI88" s="79"/>
      <c r="AJ88" s="82">
        <v>3120</v>
      </c>
      <c r="AK88" s="82"/>
      <c r="AL88" s="79">
        <v>1040</v>
      </c>
      <c r="AM88" s="82"/>
      <c r="AN88" s="82">
        <v>0</v>
      </c>
      <c r="AO88" s="79"/>
      <c r="AP88" s="82">
        <v>2421</v>
      </c>
      <c r="AQ88" s="79"/>
      <c r="AR88" s="79">
        <v>807</v>
      </c>
      <c r="AS88" s="56"/>
      <c r="AT88" s="56"/>
      <c r="AU88" s="56"/>
      <c r="AV88" s="82">
        <v>0</v>
      </c>
      <c r="AW88" s="79"/>
      <c r="AX88" s="82">
        <v>2400</v>
      </c>
      <c r="AY88" s="82"/>
      <c r="AZ88" s="79">
        <v>800</v>
      </c>
      <c r="BA88" s="82"/>
      <c r="BB88" s="82">
        <v>0</v>
      </c>
      <c r="BC88" s="79"/>
      <c r="BD88" s="82">
        <v>2361</v>
      </c>
      <c r="BE88" s="79"/>
      <c r="BF88" s="79">
        <v>787</v>
      </c>
      <c r="BG88" s="327"/>
      <c r="BH88" s="327"/>
      <c r="BI88" s="327"/>
      <c r="BJ88" s="327"/>
      <c r="BK88" s="327"/>
      <c r="BL88" s="327"/>
      <c r="BM88" s="155" t="s">
        <v>797</v>
      </c>
    </row>
    <row r="89" spans="1:65" ht="22.5" x14ac:dyDescent="0.2">
      <c r="A89" s="257"/>
      <c r="B89" s="257"/>
      <c r="C89" s="257"/>
      <c r="D89" s="87">
        <v>242</v>
      </c>
      <c r="E89" s="257"/>
      <c r="F89" s="88" t="s">
        <v>266</v>
      </c>
      <c r="G89" s="257"/>
      <c r="H89" s="88" t="s">
        <v>267</v>
      </c>
      <c r="I89" s="257"/>
      <c r="J89" s="225" t="s">
        <v>268</v>
      </c>
      <c r="K89" s="87"/>
      <c r="L89" s="88" t="s">
        <v>269</v>
      </c>
      <c r="M89" s="87"/>
      <c r="N89" s="87" t="s">
        <v>55</v>
      </c>
      <c r="O89" s="257"/>
      <c r="P89" s="257"/>
      <c r="Q89" s="56">
        <v>904</v>
      </c>
      <c r="R89" s="87"/>
      <c r="S89" s="87"/>
      <c r="T89" s="87">
        <v>0</v>
      </c>
      <c r="U89" s="87"/>
      <c r="V89" s="89">
        <v>3262</v>
      </c>
      <c r="W89" s="87"/>
      <c r="X89" s="79"/>
      <c r="Y89" s="87"/>
      <c r="Z89" s="82">
        <v>0</v>
      </c>
      <c r="AA89" s="87"/>
      <c r="AB89" s="82">
        <v>2932</v>
      </c>
      <c r="AC89" s="257"/>
      <c r="AD89" s="82">
        <v>3724</v>
      </c>
      <c r="AE89" s="79"/>
      <c r="AF89" s="79">
        <v>24830</v>
      </c>
      <c r="AG89" s="79"/>
      <c r="AH89" s="82">
        <v>0</v>
      </c>
      <c r="AI89" s="79"/>
      <c r="AJ89" s="82">
        <v>3096</v>
      </c>
      <c r="AK89" s="82"/>
      <c r="AL89" s="79">
        <v>20640</v>
      </c>
      <c r="AM89" s="82"/>
      <c r="AN89" s="82">
        <v>0</v>
      </c>
      <c r="AO89" s="79"/>
      <c r="AP89" s="82">
        <v>3936</v>
      </c>
      <c r="AQ89" s="79"/>
      <c r="AR89" s="79">
        <v>26240</v>
      </c>
      <c r="AS89" s="56"/>
      <c r="AT89" s="56"/>
      <c r="AU89" s="56"/>
      <c r="AV89" s="82">
        <v>0</v>
      </c>
      <c r="AW89" s="79"/>
      <c r="AX89" s="82">
        <v>4493</v>
      </c>
      <c r="AY89" s="82"/>
      <c r="AZ89" s="79">
        <v>29954</v>
      </c>
      <c r="BA89" s="82"/>
      <c r="BB89" s="82">
        <v>0</v>
      </c>
      <c r="BC89" s="79"/>
      <c r="BD89" s="82">
        <v>5391</v>
      </c>
      <c r="BE89" s="79"/>
      <c r="BF89" s="79">
        <v>35938</v>
      </c>
      <c r="BG89" s="79"/>
      <c r="BH89" s="79"/>
      <c r="BI89" s="79"/>
      <c r="BJ89" s="79"/>
      <c r="BK89" s="79"/>
      <c r="BL89" s="79"/>
      <c r="BM89" s="315" t="s">
        <v>797</v>
      </c>
    </row>
    <row r="90" spans="1:65" ht="22.5" x14ac:dyDescent="0.2">
      <c r="A90" s="257"/>
      <c r="B90" s="257"/>
      <c r="C90" s="257"/>
      <c r="D90" s="87">
        <v>242</v>
      </c>
      <c r="E90" s="257"/>
      <c r="F90" s="88" t="s">
        <v>270</v>
      </c>
      <c r="G90" s="257"/>
      <c r="H90" s="88" t="s">
        <v>53</v>
      </c>
      <c r="I90" s="257"/>
      <c r="J90" s="225">
        <v>5</v>
      </c>
      <c r="K90" s="87"/>
      <c r="L90" s="88" t="s">
        <v>271</v>
      </c>
      <c r="M90" s="87"/>
      <c r="N90" s="87" t="s">
        <v>55</v>
      </c>
      <c r="O90" s="257"/>
      <c r="P90" s="257"/>
      <c r="Q90" s="56">
        <v>904</v>
      </c>
      <c r="R90" s="87">
        <v>750</v>
      </c>
      <c r="S90" s="87"/>
      <c r="T90" s="87">
        <v>0</v>
      </c>
      <c r="U90" s="87"/>
      <c r="V90" s="89">
        <v>3749</v>
      </c>
      <c r="W90" s="87"/>
      <c r="X90" s="79">
        <v>971</v>
      </c>
      <c r="Y90" s="87"/>
      <c r="Z90" s="82">
        <v>0</v>
      </c>
      <c r="AA90" s="87"/>
      <c r="AB90" s="82">
        <v>947</v>
      </c>
      <c r="AC90" s="257"/>
      <c r="AD90" s="82">
        <v>3135</v>
      </c>
      <c r="AE90" s="79"/>
      <c r="AF90" s="79">
        <v>627</v>
      </c>
      <c r="AG90" s="79"/>
      <c r="AH90" s="82">
        <v>0</v>
      </c>
      <c r="AI90" s="79"/>
      <c r="AJ90" s="82">
        <v>1960</v>
      </c>
      <c r="AK90" s="82"/>
      <c r="AL90" s="79">
        <v>392</v>
      </c>
      <c r="AM90" s="82"/>
      <c r="AN90" s="82">
        <v>0</v>
      </c>
      <c r="AO90" s="79"/>
      <c r="AP90" s="82">
        <v>796</v>
      </c>
      <c r="AQ90" s="79"/>
      <c r="AR90" s="79">
        <v>159</v>
      </c>
      <c r="AS90" s="56" t="s">
        <v>765</v>
      </c>
      <c r="AT90" s="56"/>
      <c r="AU90" s="56"/>
      <c r="AV90" s="82">
        <v>0</v>
      </c>
      <c r="AW90" s="79"/>
      <c r="AX90" s="82">
        <v>560</v>
      </c>
      <c r="AY90" s="82"/>
      <c r="AZ90" s="79">
        <v>112</v>
      </c>
      <c r="BA90" s="82"/>
      <c r="BB90" s="82">
        <v>0</v>
      </c>
      <c r="BC90" s="79"/>
      <c r="BD90" s="82">
        <v>95</v>
      </c>
      <c r="BE90" s="79"/>
      <c r="BF90" s="79">
        <v>19</v>
      </c>
      <c r="BG90" s="327"/>
      <c r="BH90" s="327"/>
      <c r="BI90" s="327"/>
      <c r="BJ90" s="327"/>
      <c r="BK90" s="327"/>
      <c r="BL90" s="327"/>
      <c r="BM90" s="155" t="s">
        <v>797</v>
      </c>
    </row>
    <row r="91" spans="1:65" ht="33.75" x14ac:dyDescent="0.2">
      <c r="A91" s="257"/>
      <c r="B91" s="257" t="s">
        <v>272</v>
      </c>
      <c r="C91" s="257"/>
      <c r="D91" s="87">
        <v>243</v>
      </c>
      <c r="E91" s="257"/>
      <c r="F91" s="88" t="s">
        <v>250</v>
      </c>
      <c r="G91" s="257"/>
      <c r="H91" s="88" t="s">
        <v>53</v>
      </c>
      <c r="I91" s="257"/>
      <c r="J91" s="225" t="s">
        <v>251</v>
      </c>
      <c r="K91" s="87"/>
      <c r="L91" s="88" t="s">
        <v>273</v>
      </c>
      <c r="M91" s="87"/>
      <c r="N91" s="87" t="s">
        <v>55</v>
      </c>
      <c r="O91" s="257"/>
      <c r="P91" s="257"/>
      <c r="Q91" s="56">
        <v>904.10799999999995</v>
      </c>
      <c r="R91" s="90">
        <v>1111</v>
      </c>
      <c r="S91" s="87"/>
      <c r="T91" s="87">
        <v>0</v>
      </c>
      <c r="U91" s="87"/>
      <c r="V91" s="89">
        <v>58478.34</v>
      </c>
      <c r="W91" s="87"/>
      <c r="X91" s="79">
        <v>1212</v>
      </c>
      <c r="Y91" s="87"/>
      <c r="Z91" s="82">
        <v>0</v>
      </c>
      <c r="AA91" s="87"/>
      <c r="AB91" s="82">
        <v>65340.34</v>
      </c>
      <c r="AC91" s="257"/>
      <c r="AD91" s="82">
        <v>63855</v>
      </c>
      <c r="AE91" s="79"/>
      <c r="AF91" s="79"/>
      <c r="AG91" s="79"/>
      <c r="AH91" s="82">
        <v>0</v>
      </c>
      <c r="AI91" s="232"/>
      <c r="AJ91" s="233">
        <v>59778</v>
      </c>
      <c r="AK91" s="233"/>
      <c r="AL91" s="234">
        <v>1838</v>
      </c>
      <c r="AM91" s="233"/>
      <c r="AN91" s="82">
        <v>0</v>
      </c>
      <c r="AO91" s="79"/>
      <c r="AP91" s="82">
        <v>64681</v>
      </c>
      <c r="AQ91" s="79"/>
      <c r="AR91" s="234">
        <v>1964</v>
      </c>
      <c r="AS91" s="56" t="s">
        <v>673</v>
      </c>
      <c r="AT91" s="56"/>
      <c r="AU91" s="56" t="s">
        <v>252</v>
      </c>
      <c r="AV91" s="82">
        <v>0</v>
      </c>
      <c r="AW91" s="232"/>
      <c r="AX91" s="233">
        <v>67634</v>
      </c>
      <c r="AY91" s="233"/>
      <c r="AZ91" s="234">
        <v>1853</v>
      </c>
      <c r="BA91" s="233"/>
      <c r="BB91" s="82">
        <v>0</v>
      </c>
      <c r="BC91" s="79"/>
      <c r="BD91" s="82">
        <v>69560</v>
      </c>
      <c r="BE91" s="79"/>
      <c r="BF91" s="234">
        <v>1755</v>
      </c>
      <c r="BG91" s="234"/>
      <c r="BH91" s="234"/>
      <c r="BI91" s="234"/>
      <c r="BJ91" s="234"/>
      <c r="BK91" s="234"/>
      <c r="BL91" s="234"/>
      <c r="BM91" s="315" t="s">
        <v>782</v>
      </c>
    </row>
    <row r="92" spans="1:65" x14ac:dyDescent="0.2">
      <c r="A92" s="257"/>
      <c r="B92" s="257"/>
      <c r="C92" s="257"/>
      <c r="D92" s="87">
        <v>243</v>
      </c>
      <c r="E92" s="257"/>
      <c r="F92" s="88" t="s">
        <v>274</v>
      </c>
      <c r="G92" s="257"/>
      <c r="H92" s="88" t="s">
        <v>275</v>
      </c>
      <c r="I92" s="257"/>
      <c r="J92" s="225">
        <v>0.25</v>
      </c>
      <c r="K92" s="87"/>
      <c r="L92" s="88" t="s">
        <v>276</v>
      </c>
      <c r="M92" s="87"/>
      <c r="N92" s="87" t="s">
        <v>55</v>
      </c>
      <c r="O92" s="257"/>
      <c r="P92" s="257"/>
      <c r="Q92" s="56">
        <v>904</v>
      </c>
      <c r="R92" s="90">
        <v>2802</v>
      </c>
      <c r="S92" s="87"/>
      <c r="T92" s="87">
        <v>0</v>
      </c>
      <c r="U92" s="87"/>
      <c r="V92" s="89">
        <v>700.5</v>
      </c>
      <c r="W92" s="87"/>
      <c r="X92" s="79">
        <v>3667</v>
      </c>
      <c r="Y92" s="87"/>
      <c r="Z92" s="82">
        <v>0</v>
      </c>
      <c r="AA92" s="87"/>
      <c r="AB92" s="82">
        <v>916</v>
      </c>
      <c r="AC92" s="257"/>
      <c r="AD92" s="82">
        <v>791</v>
      </c>
      <c r="AE92" s="79"/>
      <c r="AF92" s="79">
        <v>3164</v>
      </c>
      <c r="AG92" s="79"/>
      <c r="AH92" s="82">
        <v>0</v>
      </c>
      <c r="AI92" s="79"/>
      <c r="AJ92" s="82">
        <v>789</v>
      </c>
      <c r="AK92" s="82"/>
      <c r="AL92" s="79">
        <v>3156</v>
      </c>
      <c r="AM92" s="82"/>
      <c r="AN92" s="82">
        <v>0</v>
      </c>
      <c r="AO92" s="79"/>
      <c r="AP92" s="82">
        <v>762</v>
      </c>
      <c r="AQ92" s="79"/>
      <c r="AR92" s="79">
        <v>3048</v>
      </c>
      <c r="AS92" s="56" t="s">
        <v>765</v>
      </c>
      <c r="AT92" s="56"/>
      <c r="AU92" s="56" t="s">
        <v>277</v>
      </c>
      <c r="AV92" s="82">
        <v>0</v>
      </c>
      <c r="AW92" s="79"/>
      <c r="AX92" s="82">
        <v>1054</v>
      </c>
      <c r="AY92" s="82"/>
      <c r="AZ92" s="86">
        <v>4216</v>
      </c>
      <c r="BA92" s="82"/>
      <c r="BB92" s="82">
        <v>0</v>
      </c>
      <c r="BC92" s="79"/>
      <c r="BD92" s="82">
        <v>1174</v>
      </c>
      <c r="BE92" s="79"/>
      <c r="BF92" s="86">
        <v>4696</v>
      </c>
      <c r="BG92" s="326"/>
      <c r="BH92" s="326"/>
      <c r="BI92" s="326"/>
      <c r="BJ92" s="326"/>
      <c r="BK92" s="326"/>
      <c r="BL92" s="326"/>
      <c r="BM92" s="155" t="s">
        <v>797</v>
      </c>
    </row>
    <row r="93" spans="1:65" x14ac:dyDescent="0.2">
      <c r="A93" s="257"/>
      <c r="B93" s="257"/>
      <c r="C93" s="257"/>
      <c r="D93" s="87">
        <v>243</v>
      </c>
      <c r="E93" s="257"/>
      <c r="F93" s="88" t="s">
        <v>253</v>
      </c>
      <c r="G93" s="257"/>
      <c r="H93" s="88" t="s">
        <v>254</v>
      </c>
      <c r="I93" s="257"/>
      <c r="J93" s="225" t="s">
        <v>278</v>
      </c>
      <c r="K93" s="87"/>
      <c r="L93" s="88" t="s">
        <v>279</v>
      </c>
      <c r="M93" s="87"/>
      <c r="N93" s="87" t="s">
        <v>55</v>
      </c>
      <c r="O93" s="257"/>
      <c r="P93" s="257">
        <v>2010</v>
      </c>
      <c r="Q93" s="56">
        <v>904</v>
      </c>
      <c r="R93" s="87">
        <v>5</v>
      </c>
      <c r="S93" s="87"/>
      <c r="T93" s="87">
        <v>0</v>
      </c>
      <c r="U93" s="87"/>
      <c r="V93" s="89">
        <v>25432.22</v>
      </c>
      <c r="W93" s="87"/>
      <c r="X93" s="79">
        <v>5</v>
      </c>
      <c r="Y93" s="87"/>
      <c r="Z93" s="82">
        <v>0</v>
      </c>
      <c r="AA93" s="87"/>
      <c r="AB93" s="82">
        <v>26202</v>
      </c>
      <c r="AC93" s="257"/>
      <c r="AD93" s="82">
        <v>27456</v>
      </c>
      <c r="AE93" s="79"/>
      <c r="AF93" s="79">
        <v>5</v>
      </c>
      <c r="AG93" s="79"/>
      <c r="AH93" s="82">
        <v>0</v>
      </c>
      <c r="AI93" s="79"/>
      <c r="AJ93" s="82">
        <v>26810</v>
      </c>
      <c r="AK93" s="82"/>
      <c r="AL93" s="79">
        <v>5</v>
      </c>
      <c r="AM93" s="82"/>
      <c r="AN93" s="82">
        <v>0</v>
      </c>
      <c r="AO93" s="79"/>
      <c r="AP93" s="82">
        <v>28614</v>
      </c>
      <c r="AQ93" s="79"/>
      <c r="AR93" s="79">
        <v>5</v>
      </c>
      <c r="AS93" s="56" t="s">
        <v>765</v>
      </c>
      <c r="AT93" s="56"/>
      <c r="AU93" s="56" t="s">
        <v>256</v>
      </c>
      <c r="AV93" s="82">
        <v>0</v>
      </c>
      <c r="AW93" s="79"/>
      <c r="AX93" s="82">
        <v>31099</v>
      </c>
      <c r="AY93" s="82"/>
      <c r="AZ93" s="79">
        <v>5</v>
      </c>
      <c r="BA93" s="82"/>
      <c r="BB93" s="82">
        <v>0</v>
      </c>
      <c r="BC93" s="79"/>
      <c r="BD93" s="82">
        <v>24443</v>
      </c>
      <c r="BE93" s="79"/>
      <c r="BF93" s="79">
        <v>5</v>
      </c>
      <c r="BG93" s="79"/>
      <c r="BH93" s="79"/>
      <c r="BI93" s="79"/>
      <c r="BJ93" s="79"/>
      <c r="BK93" s="79"/>
      <c r="BL93" s="79"/>
      <c r="BM93" s="315" t="s">
        <v>797</v>
      </c>
    </row>
    <row r="94" spans="1:65" x14ac:dyDescent="0.2">
      <c r="A94" s="257"/>
      <c r="B94" s="257"/>
      <c r="C94" s="257"/>
      <c r="D94" s="87">
        <v>243</v>
      </c>
      <c r="E94" s="257"/>
      <c r="F94" s="88" t="s">
        <v>280</v>
      </c>
      <c r="G94" s="257"/>
      <c r="H94" s="88" t="s">
        <v>281</v>
      </c>
      <c r="I94" s="257"/>
      <c r="J94" s="225">
        <v>36</v>
      </c>
      <c r="K94" s="87"/>
      <c r="L94" s="88" t="s">
        <v>282</v>
      </c>
      <c r="M94" s="87"/>
      <c r="N94" s="87" t="s">
        <v>55</v>
      </c>
      <c r="O94" s="257"/>
      <c r="P94" s="257"/>
      <c r="Q94" s="56">
        <v>904</v>
      </c>
      <c r="R94" s="87">
        <v>1</v>
      </c>
      <c r="S94" s="87"/>
      <c r="T94" s="87">
        <v>0</v>
      </c>
      <c r="U94" s="87"/>
      <c r="V94" s="89">
        <v>144</v>
      </c>
      <c r="W94" s="87"/>
      <c r="X94" s="79">
        <v>1</v>
      </c>
      <c r="Y94" s="87"/>
      <c r="Z94" s="82">
        <v>0</v>
      </c>
      <c r="AA94" s="87"/>
      <c r="AB94" s="82">
        <v>72</v>
      </c>
      <c r="AC94" s="257"/>
      <c r="AD94" s="82">
        <v>0</v>
      </c>
      <c r="AE94" s="79"/>
      <c r="AF94" s="79">
        <v>0</v>
      </c>
      <c r="AG94" s="79"/>
      <c r="AH94" s="82">
        <v>0</v>
      </c>
      <c r="AI94" s="79"/>
      <c r="AJ94" s="82">
        <v>0</v>
      </c>
      <c r="AK94" s="82"/>
      <c r="AL94" s="234">
        <v>0</v>
      </c>
      <c r="AM94" s="82"/>
      <c r="AN94" s="82">
        <v>0</v>
      </c>
      <c r="AO94" s="79"/>
      <c r="AP94" s="82">
        <v>0</v>
      </c>
      <c r="AQ94" s="79"/>
      <c r="AR94" s="234">
        <v>0</v>
      </c>
      <c r="AS94" s="56" t="s">
        <v>262</v>
      </c>
      <c r="AT94" s="56"/>
      <c r="AU94" s="56" t="s">
        <v>263</v>
      </c>
      <c r="AV94" s="82">
        <v>0</v>
      </c>
      <c r="AW94" s="79"/>
      <c r="AX94" s="82">
        <v>0</v>
      </c>
      <c r="AY94" s="82"/>
      <c r="AZ94" s="234">
        <v>0</v>
      </c>
      <c r="BA94" s="82"/>
      <c r="BB94" s="82">
        <v>0</v>
      </c>
      <c r="BC94" s="79"/>
      <c r="BD94" s="82">
        <v>0</v>
      </c>
      <c r="BE94" s="79"/>
      <c r="BF94" s="234">
        <v>0</v>
      </c>
      <c r="BG94" s="329"/>
      <c r="BH94" s="329"/>
      <c r="BI94" s="329"/>
      <c r="BJ94" s="329"/>
      <c r="BK94" s="329"/>
      <c r="BL94" s="329"/>
      <c r="BM94" s="155" t="s">
        <v>797</v>
      </c>
    </row>
    <row r="95" spans="1:65" x14ac:dyDescent="0.2">
      <c r="A95" s="257"/>
      <c r="B95" s="257"/>
      <c r="C95" s="257"/>
      <c r="D95" s="87">
        <v>243</v>
      </c>
      <c r="E95" s="257"/>
      <c r="F95" s="88" t="s">
        <v>259</v>
      </c>
      <c r="G95" s="257"/>
      <c r="H95" s="88" t="s">
        <v>53</v>
      </c>
      <c r="I95" s="257"/>
      <c r="J95" s="225">
        <v>2</v>
      </c>
      <c r="K95" s="87"/>
      <c r="L95" s="88" t="s">
        <v>261</v>
      </c>
      <c r="M95" s="87"/>
      <c r="N95" s="87" t="s">
        <v>55</v>
      </c>
      <c r="O95" s="257"/>
      <c r="P95" s="257"/>
      <c r="Q95" s="56">
        <v>904</v>
      </c>
      <c r="R95" s="87"/>
      <c r="S95" s="87"/>
      <c r="T95" s="87"/>
      <c r="U95" s="87"/>
      <c r="V95" s="89"/>
      <c r="W95" s="87"/>
      <c r="X95" s="79">
        <v>123</v>
      </c>
      <c r="Y95" s="87"/>
      <c r="Z95" s="82">
        <v>0</v>
      </c>
      <c r="AA95" s="87"/>
      <c r="AB95" s="82">
        <v>0</v>
      </c>
      <c r="AC95" s="257"/>
      <c r="AD95" s="82">
        <v>222</v>
      </c>
      <c r="AE95" s="79"/>
      <c r="AF95" s="79">
        <v>111</v>
      </c>
      <c r="AG95" s="79"/>
      <c r="AH95" s="82">
        <v>0</v>
      </c>
      <c r="AI95" s="79"/>
      <c r="AJ95" s="82">
        <v>174</v>
      </c>
      <c r="AK95" s="82"/>
      <c r="AL95" s="234">
        <v>87</v>
      </c>
      <c r="AM95" s="82"/>
      <c r="AN95" s="82">
        <v>0</v>
      </c>
      <c r="AO95" s="79"/>
      <c r="AP95" s="82">
        <v>172</v>
      </c>
      <c r="AQ95" s="79"/>
      <c r="AR95" s="234">
        <v>86</v>
      </c>
      <c r="AS95" s="56" t="s">
        <v>262</v>
      </c>
      <c r="AT95" s="56"/>
      <c r="AU95" s="56"/>
      <c r="AV95" s="82">
        <v>0</v>
      </c>
      <c r="AW95" s="79"/>
      <c r="AX95" s="82">
        <v>172</v>
      </c>
      <c r="AY95" s="82"/>
      <c r="AZ95" s="234">
        <v>86</v>
      </c>
      <c r="BA95" s="82"/>
      <c r="BB95" s="82">
        <v>0</v>
      </c>
      <c r="BC95" s="79"/>
      <c r="BD95" s="82">
        <v>208</v>
      </c>
      <c r="BE95" s="79"/>
      <c r="BF95" s="234">
        <v>104</v>
      </c>
      <c r="BG95" s="234"/>
      <c r="BH95" s="234"/>
      <c r="BI95" s="234"/>
      <c r="BJ95" s="234"/>
      <c r="BK95" s="234"/>
      <c r="BL95" s="234"/>
      <c r="BM95" s="315" t="s">
        <v>797</v>
      </c>
    </row>
    <row r="96" spans="1:65" x14ac:dyDescent="0.2">
      <c r="A96" s="257"/>
      <c r="B96" s="257"/>
      <c r="C96" s="257"/>
      <c r="D96" s="87">
        <v>243</v>
      </c>
      <c r="E96" s="257"/>
      <c r="F96" s="88" t="s">
        <v>259</v>
      </c>
      <c r="G96" s="257"/>
      <c r="H96" s="88" t="s">
        <v>260</v>
      </c>
      <c r="I96" s="257"/>
      <c r="J96" s="225">
        <v>2</v>
      </c>
      <c r="K96" s="87"/>
      <c r="L96" s="88" t="s">
        <v>261</v>
      </c>
      <c r="M96" s="87"/>
      <c r="N96" s="87" t="s">
        <v>55</v>
      </c>
      <c r="O96" s="257"/>
      <c r="P96" s="257"/>
      <c r="Q96" s="56">
        <v>904</v>
      </c>
      <c r="R96" s="87">
        <v>571</v>
      </c>
      <c r="S96" s="87"/>
      <c r="T96" s="87">
        <v>0</v>
      </c>
      <c r="U96" s="87"/>
      <c r="V96" s="89">
        <v>1142</v>
      </c>
      <c r="W96" s="87"/>
      <c r="X96" s="79">
        <v>123</v>
      </c>
      <c r="Y96" s="87"/>
      <c r="Z96" s="82">
        <v>0</v>
      </c>
      <c r="AA96" s="87"/>
      <c r="AB96" s="82">
        <v>0</v>
      </c>
      <c r="AC96" s="257"/>
      <c r="AD96" s="82">
        <v>1194</v>
      </c>
      <c r="AE96" s="79"/>
      <c r="AF96" s="79">
        <v>597</v>
      </c>
      <c r="AG96" s="79"/>
      <c r="AH96" s="82">
        <v>0</v>
      </c>
      <c r="AI96" s="79"/>
      <c r="AJ96" s="82">
        <v>988</v>
      </c>
      <c r="AK96" s="82"/>
      <c r="AL96" s="234">
        <v>494</v>
      </c>
      <c r="AM96" s="82"/>
      <c r="AN96" s="82">
        <v>0</v>
      </c>
      <c r="AO96" s="79"/>
      <c r="AP96" s="82">
        <v>910</v>
      </c>
      <c r="AQ96" s="79"/>
      <c r="AR96" s="234">
        <v>455</v>
      </c>
      <c r="AS96" s="56" t="s">
        <v>262</v>
      </c>
      <c r="AT96" s="56"/>
      <c r="AU96" s="56" t="s">
        <v>263</v>
      </c>
      <c r="AV96" s="82">
        <v>0</v>
      </c>
      <c r="AW96" s="79"/>
      <c r="AX96" s="82">
        <v>1124</v>
      </c>
      <c r="AY96" s="82"/>
      <c r="AZ96" s="234">
        <v>562</v>
      </c>
      <c r="BA96" s="82"/>
      <c r="BB96" s="82">
        <v>0</v>
      </c>
      <c r="BC96" s="79"/>
      <c r="BD96" s="82">
        <v>1072</v>
      </c>
      <c r="BE96" s="79"/>
      <c r="BF96" s="234">
        <v>536</v>
      </c>
      <c r="BG96" s="329"/>
      <c r="BH96" s="329"/>
      <c r="BI96" s="329"/>
      <c r="BJ96" s="329"/>
      <c r="BK96" s="329"/>
      <c r="BL96" s="329"/>
      <c r="BM96" s="155" t="s">
        <v>797</v>
      </c>
    </row>
    <row r="97" spans="1:65" ht="22.5" x14ac:dyDescent="0.2">
      <c r="A97" s="257"/>
      <c r="B97" s="257"/>
      <c r="C97" s="257"/>
      <c r="D97" s="87">
        <v>243</v>
      </c>
      <c r="E97" s="257"/>
      <c r="F97" s="88" t="s">
        <v>264</v>
      </c>
      <c r="G97" s="257"/>
      <c r="H97" s="88" t="s">
        <v>53</v>
      </c>
      <c r="I97" s="257"/>
      <c r="J97" s="225" t="s">
        <v>813</v>
      </c>
      <c r="K97" s="87"/>
      <c r="L97" s="88"/>
      <c r="M97" s="87"/>
      <c r="N97" s="87" t="s">
        <v>55</v>
      </c>
      <c r="O97" s="257"/>
      <c r="P97" s="257"/>
      <c r="Q97" s="56">
        <v>904</v>
      </c>
      <c r="R97" s="90">
        <v>2512</v>
      </c>
      <c r="S97" s="87"/>
      <c r="T97" s="87"/>
      <c r="U97" s="87"/>
      <c r="V97" s="89">
        <v>7536</v>
      </c>
      <c r="W97" s="87"/>
      <c r="X97" s="79">
        <v>2513</v>
      </c>
      <c r="Y97" s="87"/>
      <c r="Z97" s="82">
        <v>0</v>
      </c>
      <c r="AA97" s="87"/>
      <c r="AB97" s="82">
        <v>7541.71</v>
      </c>
      <c r="AC97" s="257"/>
      <c r="AD97" s="82">
        <v>5801</v>
      </c>
      <c r="AE97" s="79"/>
      <c r="AF97" s="79">
        <v>1933</v>
      </c>
      <c r="AG97" s="79"/>
      <c r="AH97" s="82">
        <v>0</v>
      </c>
      <c r="AI97" s="79"/>
      <c r="AJ97" s="82">
        <v>4499</v>
      </c>
      <c r="AK97" s="82"/>
      <c r="AL97" s="234">
        <v>1499.6666666666667</v>
      </c>
      <c r="AM97" s="82"/>
      <c r="AN97" s="82">
        <v>0</v>
      </c>
      <c r="AO97" s="79"/>
      <c r="AP97" s="82">
        <v>4309</v>
      </c>
      <c r="AQ97" s="79"/>
      <c r="AR97" s="234">
        <v>1436.3333333333333</v>
      </c>
      <c r="AS97" s="56" t="s">
        <v>765</v>
      </c>
      <c r="AT97" s="56"/>
      <c r="AU97" s="56"/>
      <c r="AV97" s="82">
        <v>0</v>
      </c>
      <c r="AW97" s="79"/>
      <c r="AX97" s="82">
        <v>4197</v>
      </c>
      <c r="AY97" s="82"/>
      <c r="AZ97" s="234">
        <v>1399</v>
      </c>
      <c r="BA97" s="82"/>
      <c r="BB97" s="82">
        <v>0</v>
      </c>
      <c r="BC97" s="79"/>
      <c r="BD97" s="82">
        <v>3691</v>
      </c>
      <c r="BE97" s="79"/>
      <c r="BF97" s="234">
        <v>1230</v>
      </c>
      <c r="BG97" s="234"/>
      <c r="BH97" s="234"/>
      <c r="BI97" s="234"/>
      <c r="BJ97" s="234"/>
      <c r="BK97" s="234"/>
      <c r="BL97" s="234"/>
      <c r="BM97" s="315" t="s">
        <v>797</v>
      </c>
    </row>
    <row r="98" spans="1:65" ht="22.5" x14ac:dyDescent="0.2">
      <c r="A98" s="257"/>
      <c r="B98" s="257"/>
      <c r="C98" s="257"/>
      <c r="D98" s="87">
        <v>243</v>
      </c>
      <c r="E98" s="257"/>
      <c r="F98" s="88" t="s">
        <v>266</v>
      </c>
      <c r="G98" s="257"/>
      <c r="H98" s="88" t="s">
        <v>267</v>
      </c>
      <c r="I98" s="257"/>
      <c r="J98" s="225" t="s">
        <v>268</v>
      </c>
      <c r="K98" s="87"/>
      <c r="L98" s="88" t="s">
        <v>269</v>
      </c>
      <c r="M98" s="87"/>
      <c r="N98" s="87" t="s">
        <v>55</v>
      </c>
      <c r="O98" s="257"/>
      <c r="P98" s="257"/>
      <c r="Q98" s="56">
        <v>904</v>
      </c>
      <c r="R98" s="87"/>
      <c r="S98" s="87"/>
      <c r="T98" s="87">
        <v>0</v>
      </c>
      <c r="U98" s="87"/>
      <c r="V98" s="89">
        <v>3618.05</v>
      </c>
      <c r="W98" s="87"/>
      <c r="X98" s="79"/>
      <c r="Y98" s="87"/>
      <c r="Z98" s="82">
        <v>0</v>
      </c>
      <c r="AA98" s="87"/>
      <c r="AB98" s="82">
        <v>3853.5</v>
      </c>
      <c r="AC98" s="257"/>
      <c r="AD98" s="82">
        <v>3388</v>
      </c>
      <c r="AE98" s="79"/>
      <c r="AF98" s="79"/>
      <c r="AG98" s="79"/>
      <c r="AH98" s="82">
        <v>0</v>
      </c>
      <c r="AI98" s="79"/>
      <c r="AJ98" s="82">
        <v>2528</v>
      </c>
      <c r="AK98" s="82"/>
      <c r="AL98" s="234">
        <v>16853.333333333336</v>
      </c>
      <c r="AM98" s="82"/>
      <c r="AN98" s="82">
        <v>0</v>
      </c>
      <c r="AO98" s="79"/>
      <c r="AP98" s="82">
        <v>3384</v>
      </c>
      <c r="AQ98" s="79"/>
      <c r="AR98" s="234">
        <v>22560</v>
      </c>
      <c r="AS98" s="56" t="s">
        <v>765</v>
      </c>
      <c r="AT98" s="56"/>
      <c r="AU98" s="56"/>
      <c r="AV98" s="82">
        <v>0</v>
      </c>
      <c r="AW98" s="79"/>
      <c r="AX98" s="82">
        <v>2878</v>
      </c>
      <c r="AY98" s="82"/>
      <c r="AZ98" s="234">
        <v>1853</v>
      </c>
      <c r="BA98" s="82"/>
      <c r="BB98" s="82">
        <v>0</v>
      </c>
      <c r="BC98" s="79"/>
      <c r="BD98" s="82">
        <v>2681</v>
      </c>
      <c r="BE98" s="79"/>
      <c r="BF98" s="234">
        <v>1755</v>
      </c>
      <c r="BG98" s="329"/>
      <c r="BH98" s="329"/>
      <c r="BI98" s="329"/>
      <c r="BJ98" s="329"/>
      <c r="BK98" s="329"/>
      <c r="BL98" s="329"/>
      <c r="BM98" s="155" t="s">
        <v>797</v>
      </c>
    </row>
    <row r="99" spans="1:65" ht="22.5" x14ac:dyDescent="0.2">
      <c r="A99" s="257"/>
      <c r="B99" s="257"/>
      <c r="C99" s="257"/>
      <c r="D99" s="87">
        <v>243</v>
      </c>
      <c r="E99" s="257"/>
      <c r="F99" s="88" t="s">
        <v>270</v>
      </c>
      <c r="G99" s="257"/>
      <c r="H99" s="88" t="s">
        <v>53</v>
      </c>
      <c r="I99" s="257"/>
      <c r="J99" s="225">
        <v>5</v>
      </c>
      <c r="K99" s="87"/>
      <c r="L99" s="88" t="s">
        <v>271</v>
      </c>
      <c r="M99" s="87"/>
      <c r="N99" s="87" t="s">
        <v>55</v>
      </c>
      <c r="O99" s="257"/>
      <c r="P99" s="257"/>
      <c r="Q99" s="56">
        <v>904</v>
      </c>
      <c r="R99" s="87">
        <v>827</v>
      </c>
      <c r="S99" s="87"/>
      <c r="T99" s="87">
        <v>0</v>
      </c>
      <c r="U99" s="87">
        <v>827</v>
      </c>
      <c r="V99" s="89">
        <v>4135.6899999999996</v>
      </c>
      <c r="W99" s="87"/>
      <c r="X99" s="79">
        <v>986</v>
      </c>
      <c r="Y99" s="87"/>
      <c r="Z99" s="82">
        <v>0</v>
      </c>
      <c r="AA99" s="87"/>
      <c r="AB99" s="82">
        <v>4933</v>
      </c>
      <c r="AC99" s="257"/>
      <c r="AD99" s="82">
        <v>4681</v>
      </c>
      <c r="AE99" s="79"/>
      <c r="AF99" s="79">
        <v>936</v>
      </c>
      <c r="AG99" s="79"/>
      <c r="AH99" s="82">
        <v>0</v>
      </c>
      <c r="AI99" s="235"/>
      <c r="AJ99" s="236">
        <v>4035</v>
      </c>
      <c r="AK99" s="236"/>
      <c r="AL99" s="79">
        <v>807</v>
      </c>
      <c r="AM99" s="236"/>
      <c r="AN99" s="82">
        <v>0</v>
      </c>
      <c r="AO99" s="79"/>
      <c r="AP99" s="82">
        <v>780</v>
      </c>
      <c r="AQ99" s="79"/>
      <c r="AR99" s="79">
        <v>156</v>
      </c>
      <c r="AS99" s="56" t="s">
        <v>262</v>
      </c>
      <c r="AT99" s="56"/>
      <c r="AU99" s="56"/>
      <c r="AV99" s="82">
        <v>0</v>
      </c>
      <c r="AW99" s="235"/>
      <c r="AX99" s="236">
        <v>855</v>
      </c>
      <c r="AY99" s="236"/>
      <c r="AZ99" s="79">
        <v>171</v>
      </c>
      <c r="BA99" s="236"/>
      <c r="BB99" s="82">
        <v>0</v>
      </c>
      <c r="BC99" s="79"/>
      <c r="BD99" s="82">
        <v>387</v>
      </c>
      <c r="BE99" s="79"/>
      <c r="BF99" s="79">
        <v>77</v>
      </c>
      <c r="BG99" s="79"/>
      <c r="BH99" s="79"/>
      <c r="BI99" s="79"/>
      <c r="BJ99" s="79"/>
      <c r="BK99" s="79"/>
      <c r="BL99" s="79"/>
      <c r="BM99" s="315" t="s">
        <v>797</v>
      </c>
    </row>
    <row r="100" spans="1:65" x14ac:dyDescent="0.2">
      <c r="A100" s="257"/>
      <c r="B100" s="257" t="s">
        <v>283</v>
      </c>
      <c r="C100" s="257"/>
      <c r="D100" s="87">
        <v>244</v>
      </c>
      <c r="E100" s="257"/>
      <c r="F100" s="88" t="s">
        <v>259</v>
      </c>
      <c r="G100" s="257"/>
      <c r="H100" s="88" t="s">
        <v>260</v>
      </c>
      <c r="I100" s="257"/>
      <c r="J100" s="225">
        <v>2</v>
      </c>
      <c r="K100" s="87"/>
      <c r="L100" s="88" t="s">
        <v>261</v>
      </c>
      <c r="M100" s="87"/>
      <c r="N100" s="87" t="s">
        <v>55</v>
      </c>
      <c r="O100" s="257"/>
      <c r="P100" s="257"/>
      <c r="Q100" s="56">
        <v>904</v>
      </c>
      <c r="R100" s="87">
        <v>367</v>
      </c>
      <c r="S100" s="87"/>
      <c r="T100" s="87">
        <v>0</v>
      </c>
      <c r="U100" s="87"/>
      <c r="V100" s="89">
        <v>734</v>
      </c>
      <c r="W100" s="87"/>
      <c r="X100" s="79">
        <v>465</v>
      </c>
      <c r="Y100" s="87"/>
      <c r="Z100" s="82">
        <v>0</v>
      </c>
      <c r="AA100" s="87"/>
      <c r="AB100" s="82">
        <v>930</v>
      </c>
      <c r="AC100" s="257"/>
      <c r="AD100" s="82">
        <v>660</v>
      </c>
      <c r="AE100" s="79"/>
      <c r="AF100" s="79">
        <v>330</v>
      </c>
      <c r="AG100" s="79"/>
      <c r="AH100" s="82">
        <v>0</v>
      </c>
      <c r="AI100" s="79"/>
      <c r="AJ100" s="82">
        <v>706</v>
      </c>
      <c r="AK100" s="82"/>
      <c r="AL100" s="79">
        <v>353</v>
      </c>
      <c r="AM100" s="82"/>
      <c r="AN100" s="82">
        <v>0</v>
      </c>
      <c r="AO100" s="79"/>
      <c r="AP100" s="82">
        <v>542</v>
      </c>
      <c r="AQ100" s="79"/>
      <c r="AR100" s="79">
        <v>271</v>
      </c>
      <c r="AS100" s="56" t="s">
        <v>262</v>
      </c>
      <c r="AT100" s="56"/>
      <c r="AU100" s="56"/>
      <c r="AV100" s="82">
        <v>0</v>
      </c>
      <c r="AW100" s="79"/>
      <c r="AX100" s="82">
        <v>602</v>
      </c>
      <c r="AY100" s="82"/>
      <c r="AZ100" s="79">
        <v>301</v>
      </c>
      <c r="BA100" s="82"/>
      <c r="BB100" s="82">
        <v>0</v>
      </c>
      <c r="BC100" s="79"/>
      <c r="BD100" s="82">
        <v>584</v>
      </c>
      <c r="BE100" s="79"/>
      <c r="BF100" s="79">
        <v>292</v>
      </c>
      <c r="BG100" s="327"/>
      <c r="BH100" s="327"/>
      <c r="BI100" s="327"/>
      <c r="BJ100" s="327"/>
      <c r="BK100" s="327"/>
      <c r="BL100" s="327"/>
      <c r="BM100" s="155" t="s">
        <v>797</v>
      </c>
    </row>
    <row r="101" spans="1:65" ht="33.75" x14ac:dyDescent="0.2">
      <c r="A101" s="257"/>
      <c r="B101" s="257"/>
      <c r="C101" s="257"/>
      <c r="D101" s="87">
        <v>244</v>
      </c>
      <c r="E101" s="257"/>
      <c r="F101" s="88" t="s">
        <v>250</v>
      </c>
      <c r="G101" s="257"/>
      <c r="H101" s="88" t="s">
        <v>53</v>
      </c>
      <c r="I101" s="257"/>
      <c r="J101" s="225" t="s">
        <v>251</v>
      </c>
      <c r="K101" s="87"/>
      <c r="L101" s="88" t="s">
        <v>273</v>
      </c>
      <c r="M101" s="87"/>
      <c r="N101" s="87" t="s">
        <v>55</v>
      </c>
      <c r="O101" s="257"/>
      <c r="P101" s="257"/>
      <c r="Q101" s="56">
        <v>904</v>
      </c>
      <c r="R101" s="87"/>
      <c r="S101" s="87"/>
      <c r="T101" s="87"/>
      <c r="U101" s="87"/>
      <c r="V101" s="89">
        <v>21456.44</v>
      </c>
      <c r="W101" s="87"/>
      <c r="X101" s="79"/>
      <c r="Y101" s="87"/>
      <c r="Z101" s="82">
        <v>0</v>
      </c>
      <c r="AA101" s="87"/>
      <c r="AB101" s="82">
        <v>27056</v>
      </c>
      <c r="AC101" s="257"/>
      <c r="AD101" s="82">
        <v>28553</v>
      </c>
      <c r="AE101" s="79"/>
      <c r="AF101" s="79"/>
      <c r="AG101" s="79"/>
      <c r="AH101" s="82">
        <v>0</v>
      </c>
      <c r="AI101" s="79"/>
      <c r="AJ101" s="82">
        <v>30688</v>
      </c>
      <c r="AK101" s="82"/>
      <c r="AL101" s="79">
        <v>6533</v>
      </c>
      <c r="AM101" s="82"/>
      <c r="AN101" s="82">
        <v>0</v>
      </c>
      <c r="AO101" s="79"/>
      <c r="AP101" s="82">
        <v>33297</v>
      </c>
      <c r="AQ101" s="79"/>
      <c r="AR101" s="79">
        <v>6513</v>
      </c>
      <c r="AS101" s="56" t="s">
        <v>673</v>
      </c>
      <c r="AT101" s="56"/>
      <c r="AU101" s="56"/>
      <c r="AV101" s="82">
        <v>0</v>
      </c>
      <c r="AW101" s="79"/>
      <c r="AX101" s="82">
        <v>36112</v>
      </c>
      <c r="AY101" s="82"/>
      <c r="AZ101" s="79">
        <v>6367</v>
      </c>
      <c r="BA101" s="82"/>
      <c r="BB101" s="82">
        <v>0</v>
      </c>
      <c r="BC101" s="79"/>
      <c r="BD101" s="82">
        <v>39979</v>
      </c>
      <c r="BE101" s="79"/>
      <c r="BF101" s="79">
        <v>6528</v>
      </c>
      <c r="BG101" s="79"/>
      <c r="BH101" s="79"/>
      <c r="BI101" s="79"/>
      <c r="BJ101" s="79"/>
      <c r="BK101" s="79"/>
      <c r="BL101" s="79"/>
      <c r="BM101" s="315" t="s">
        <v>782</v>
      </c>
    </row>
    <row r="102" spans="1:65" ht="22.5" x14ac:dyDescent="0.2">
      <c r="A102" s="257"/>
      <c r="B102" s="257"/>
      <c r="C102" s="257"/>
      <c r="D102" s="87">
        <v>244</v>
      </c>
      <c r="E102" s="257"/>
      <c r="F102" s="88" t="s">
        <v>264</v>
      </c>
      <c r="G102" s="257"/>
      <c r="H102" s="88" t="s">
        <v>53</v>
      </c>
      <c r="I102" s="257"/>
      <c r="J102" s="225" t="s">
        <v>265</v>
      </c>
      <c r="K102" s="87"/>
      <c r="L102" s="88"/>
      <c r="M102" s="87"/>
      <c r="N102" s="87" t="s">
        <v>55</v>
      </c>
      <c r="O102" s="257"/>
      <c r="P102" s="257"/>
      <c r="Q102" s="56">
        <v>904</v>
      </c>
      <c r="R102" s="90">
        <v>1867</v>
      </c>
      <c r="S102" s="87"/>
      <c r="T102" s="87"/>
      <c r="U102" s="87"/>
      <c r="V102" s="89">
        <v>5602.4</v>
      </c>
      <c r="W102" s="87"/>
      <c r="X102" s="79">
        <v>1869</v>
      </c>
      <c r="Y102" s="87"/>
      <c r="Z102" s="82">
        <v>0</v>
      </c>
      <c r="AA102" s="87"/>
      <c r="AB102" s="82">
        <v>5604</v>
      </c>
      <c r="AC102" s="257"/>
      <c r="AD102" s="82">
        <v>5355</v>
      </c>
      <c r="AE102" s="79"/>
      <c r="AF102" s="79">
        <v>1785</v>
      </c>
      <c r="AG102" s="79"/>
      <c r="AH102" s="82">
        <v>0</v>
      </c>
      <c r="AI102" s="79"/>
      <c r="AJ102" s="82">
        <v>4812</v>
      </c>
      <c r="AK102" s="82"/>
      <c r="AL102" s="79">
        <v>1604</v>
      </c>
      <c r="AM102" s="82"/>
      <c r="AN102" s="82">
        <v>0</v>
      </c>
      <c r="AO102" s="79"/>
      <c r="AP102" s="82">
        <v>4743</v>
      </c>
      <c r="AQ102" s="79"/>
      <c r="AR102" s="79">
        <v>1581</v>
      </c>
      <c r="AS102" s="56"/>
      <c r="AT102" s="56"/>
      <c r="AU102" s="56"/>
      <c r="AV102" s="82">
        <v>0</v>
      </c>
      <c r="AW102" s="79"/>
      <c r="AX102" s="82">
        <v>3717</v>
      </c>
      <c r="AY102" s="82"/>
      <c r="AZ102" s="79">
        <v>1239</v>
      </c>
      <c r="BA102" s="82"/>
      <c r="BB102" s="82">
        <v>0</v>
      </c>
      <c r="BC102" s="79"/>
      <c r="BD102" s="82">
        <v>4239</v>
      </c>
      <c r="BE102" s="79"/>
      <c r="BF102" s="79">
        <v>1413</v>
      </c>
      <c r="BG102" s="327"/>
      <c r="BH102" s="327"/>
      <c r="BI102" s="327"/>
      <c r="BJ102" s="327"/>
      <c r="BK102" s="327"/>
      <c r="BL102" s="327"/>
      <c r="BM102" s="155" t="s">
        <v>797</v>
      </c>
    </row>
    <row r="103" spans="1:65" ht="22.5" x14ac:dyDescent="0.2">
      <c r="A103" s="257"/>
      <c r="B103" s="257"/>
      <c r="C103" s="257"/>
      <c r="D103" s="87">
        <v>244</v>
      </c>
      <c r="E103" s="257"/>
      <c r="F103" s="88" t="s">
        <v>266</v>
      </c>
      <c r="G103" s="257"/>
      <c r="H103" s="88" t="s">
        <v>267</v>
      </c>
      <c r="I103" s="257"/>
      <c r="J103" s="225" t="s">
        <v>268</v>
      </c>
      <c r="K103" s="87"/>
      <c r="L103" s="88" t="s">
        <v>269</v>
      </c>
      <c r="M103" s="87"/>
      <c r="N103" s="87" t="s">
        <v>55</v>
      </c>
      <c r="O103" s="257"/>
      <c r="P103" s="257"/>
      <c r="Q103" s="56">
        <v>904</v>
      </c>
      <c r="R103" s="87"/>
      <c r="S103" s="87"/>
      <c r="T103" s="87">
        <v>0</v>
      </c>
      <c r="U103" s="87"/>
      <c r="V103" s="89">
        <v>1800.67</v>
      </c>
      <c r="W103" s="87"/>
      <c r="X103" s="79">
        <v>8191</v>
      </c>
      <c r="Y103" s="87"/>
      <c r="Z103" s="82">
        <v>0</v>
      </c>
      <c r="AA103" s="87"/>
      <c r="AB103" s="82">
        <v>1229</v>
      </c>
      <c r="AC103" s="257"/>
      <c r="AD103" s="82">
        <v>9955</v>
      </c>
      <c r="AE103" s="79"/>
      <c r="AF103" s="79">
        <v>944</v>
      </c>
      <c r="AG103" s="79"/>
      <c r="AH103" s="82">
        <v>0</v>
      </c>
      <c r="AI103" s="79"/>
      <c r="AJ103" s="82">
        <v>13655</v>
      </c>
      <c r="AK103" s="82"/>
      <c r="AL103" s="79">
        <v>856</v>
      </c>
      <c r="AM103" s="82"/>
      <c r="AN103" s="82">
        <v>0</v>
      </c>
      <c r="AO103" s="79"/>
      <c r="AP103" s="82">
        <v>11565</v>
      </c>
      <c r="AQ103" s="79"/>
      <c r="AR103" s="79">
        <v>817</v>
      </c>
      <c r="AS103" s="56"/>
      <c r="AT103" s="56"/>
      <c r="AU103" s="56"/>
      <c r="AV103" s="82">
        <v>0</v>
      </c>
      <c r="AW103" s="79"/>
      <c r="AX103" s="82">
        <v>11660</v>
      </c>
      <c r="AY103" s="82"/>
      <c r="AZ103" s="79">
        <v>677</v>
      </c>
      <c r="BA103" s="82"/>
      <c r="BB103" s="82">
        <v>0</v>
      </c>
      <c r="BC103" s="79"/>
      <c r="BD103" s="82">
        <v>13879</v>
      </c>
      <c r="BE103" s="79"/>
      <c r="BF103" s="79">
        <v>712</v>
      </c>
      <c r="BG103" s="79"/>
      <c r="BH103" s="79"/>
      <c r="BI103" s="79"/>
      <c r="BJ103" s="79"/>
      <c r="BK103" s="79"/>
      <c r="BL103" s="79"/>
      <c r="BM103" s="315" t="s">
        <v>797</v>
      </c>
    </row>
    <row r="104" spans="1:65" ht="22.5" x14ac:dyDescent="0.2">
      <c r="A104" s="257"/>
      <c r="B104" s="257"/>
      <c r="C104" s="257"/>
      <c r="D104" s="87">
        <v>244</v>
      </c>
      <c r="E104" s="257"/>
      <c r="F104" s="88" t="s">
        <v>270</v>
      </c>
      <c r="G104" s="257"/>
      <c r="H104" s="88" t="s">
        <v>53</v>
      </c>
      <c r="I104" s="257"/>
      <c r="J104" s="225">
        <v>5</v>
      </c>
      <c r="K104" s="87"/>
      <c r="L104" s="88" t="s">
        <v>271</v>
      </c>
      <c r="M104" s="87"/>
      <c r="N104" s="87" t="s">
        <v>55</v>
      </c>
      <c r="O104" s="257"/>
      <c r="P104" s="257"/>
      <c r="Q104" s="56">
        <v>904</v>
      </c>
      <c r="R104" s="90">
        <v>1223</v>
      </c>
      <c r="S104" s="87"/>
      <c r="T104" s="87">
        <v>0</v>
      </c>
      <c r="U104" s="87"/>
      <c r="V104" s="89">
        <v>6115.09</v>
      </c>
      <c r="W104" s="87"/>
      <c r="X104" s="79">
        <v>594</v>
      </c>
      <c r="Y104" s="87"/>
      <c r="Z104" s="82">
        <v>0</v>
      </c>
      <c r="AA104" s="87"/>
      <c r="AB104" s="82">
        <v>2970</v>
      </c>
      <c r="AC104" s="257"/>
      <c r="AD104" s="82">
        <v>2795</v>
      </c>
      <c r="AE104" s="79"/>
      <c r="AF104" s="79">
        <v>559</v>
      </c>
      <c r="AG104" s="79"/>
      <c r="AH104" s="82">
        <v>0</v>
      </c>
      <c r="AI104" s="79"/>
      <c r="AJ104" s="82">
        <v>2680</v>
      </c>
      <c r="AK104" s="82"/>
      <c r="AL104" s="79">
        <v>536</v>
      </c>
      <c r="AM104" s="82"/>
      <c r="AN104" s="82">
        <v>0</v>
      </c>
      <c r="AO104" s="79"/>
      <c r="AP104" s="82">
        <v>290</v>
      </c>
      <c r="AQ104" s="79"/>
      <c r="AR104" s="79"/>
      <c r="AS104" s="56" t="s">
        <v>765</v>
      </c>
      <c r="AT104" s="56"/>
      <c r="AU104" s="56"/>
      <c r="AV104" s="82">
        <v>0</v>
      </c>
      <c r="AW104" s="79"/>
      <c r="AX104" s="82">
        <v>10</v>
      </c>
      <c r="AY104" s="82"/>
      <c r="AZ104" s="79">
        <v>2</v>
      </c>
      <c r="BA104" s="82"/>
      <c r="BB104" s="82">
        <v>0</v>
      </c>
      <c r="BC104" s="79"/>
      <c r="BD104" s="82">
        <v>0</v>
      </c>
      <c r="BE104" s="79"/>
      <c r="BF104" s="79">
        <v>0</v>
      </c>
      <c r="BG104" s="327"/>
      <c r="BH104" s="327"/>
      <c r="BI104" s="327"/>
      <c r="BJ104" s="327"/>
      <c r="BK104" s="327"/>
      <c r="BL104" s="327"/>
      <c r="BM104" s="155" t="s">
        <v>797</v>
      </c>
    </row>
    <row r="105" spans="1:65" ht="33.75" x14ac:dyDescent="0.2">
      <c r="A105" s="257"/>
      <c r="B105" s="257" t="s">
        <v>284</v>
      </c>
      <c r="C105" s="257"/>
      <c r="D105" s="87">
        <v>245</v>
      </c>
      <c r="E105" s="257"/>
      <c r="F105" s="88" t="s">
        <v>250</v>
      </c>
      <c r="G105" s="257"/>
      <c r="H105" s="88" t="s">
        <v>53</v>
      </c>
      <c r="I105" s="257"/>
      <c r="J105" s="225" t="s">
        <v>251</v>
      </c>
      <c r="K105" s="87"/>
      <c r="L105" s="88" t="s">
        <v>273</v>
      </c>
      <c r="M105" s="87"/>
      <c r="N105" s="87" t="s">
        <v>55</v>
      </c>
      <c r="O105" s="257"/>
      <c r="P105" s="257"/>
      <c r="Q105" s="56">
        <v>904</v>
      </c>
      <c r="R105" s="87"/>
      <c r="S105" s="87"/>
      <c r="T105" s="87">
        <v>0</v>
      </c>
      <c r="U105" s="87"/>
      <c r="V105" s="89">
        <v>48608</v>
      </c>
      <c r="W105" s="87"/>
      <c r="X105" s="79"/>
      <c r="Y105" s="87"/>
      <c r="Z105" s="82">
        <v>0</v>
      </c>
      <c r="AA105" s="87"/>
      <c r="AB105" s="82">
        <v>60493</v>
      </c>
      <c r="AC105" s="257"/>
      <c r="AD105" s="237">
        <v>59641.04</v>
      </c>
      <c r="AE105" s="79"/>
      <c r="AF105" s="238">
        <v>0</v>
      </c>
      <c r="AG105" s="79"/>
      <c r="AH105" s="237">
        <v>0</v>
      </c>
      <c r="AI105" s="237"/>
      <c r="AJ105" s="237">
        <v>60319</v>
      </c>
      <c r="AK105" s="237"/>
      <c r="AL105" s="79">
        <v>2720</v>
      </c>
      <c r="AM105" s="237"/>
      <c r="AN105" s="237">
        <v>0</v>
      </c>
      <c r="AO105" s="237"/>
      <c r="AP105" s="237">
        <v>68276</v>
      </c>
      <c r="AQ105" s="237"/>
      <c r="AR105" s="79">
        <v>2964</v>
      </c>
      <c r="AS105" s="56" t="s">
        <v>673</v>
      </c>
      <c r="AT105" s="56"/>
      <c r="AU105" s="56" t="s">
        <v>252</v>
      </c>
      <c r="AV105" s="237">
        <v>0</v>
      </c>
      <c r="AW105" s="237"/>
      <c r="AX105" s="237">
        <v>70180</v>
      </c>
      <c r="AY105" s="237"/>
      <c r="AZ105" s="79">
        <v>3637</v>
      </c>
      <c r="BA105" s="237"/>
      <c r="BB105" s="237">
        <v>0</v>
      </c>
      <c r="BC105" s="237"/>
      <c r="BD105" s="237">
        <v>79891.929999999993</v>
      </c>
      <c r="BE105" s="237"/>
      <c r="BF105" s="79">
        <v>3753</v>
      </c>
      <c r="BG105" s="79"/>
      <c r="BH105" s="79"/>
      <c r="BI105" s="79"/>
      <c r="BJ105" s="79"/>
      <c r="BK105" s="79"/>
      <c r="BL105" s="79"/>
      <c r="BM105" s="315" t="s">
        <v>782</v>
      </c>
    </row>
    <row r="106" spans="1:65" ht="22.5" x14ac:dyDescent="0.2">
      <c r="A106" s="257"/>
      <c r="B106" s="257"/>
      <c r="C106" s="257"/>
      <c r="D106" s="87">
        <v>245</v>
      </c>
      <c r="E106" s="257"/>
      <c r="F106" s="88" t="s">
        <v>264</v>
      </c>
      <c r="G106" s="257"/>
      <c r="H106" s="88" t="s">
        <v>53</v>
      </c>
      <c r="I106" s="257"/>
      <c r="J106" s="225">
        <v>3</v>
      </c>
      <c r="K106" s="87"/>
      <c r="L106" s="88" t="s">
        <v>285</v>
      </c>
      <c r="M106" s="87"/>
      <c r="N106" s="87" t="s">
        <v>55</v>
      </c>
      <c r="O106" s="257"/>
      <c r="P106" s="257"/>
      <c r="Q106" s="56">
        <v>904</v>
      </c>
      <c r="R106" s="87"/>
      <c r="S106" s="87"/>
      <c r="T106" s="87">
        <v>0</v>
      </c>
      <c r="U106" s="87"/>
      <c r="V106" s="89">
        <v>8119.63</v>
      </c>
      <c r="W106" s="87"/>
      <c r="X106" s="79"/>
      <c r="Y106" s="87"/>
      <c r="Z106" s="82">
        <v>0</v>
      </c>
      <c r="AA106" s="87"/>
      <c r="AB106" s="82">
        <v>5862</v>
      </c>
      <c r="AC106" s="257"/>
      <c r="AD106" s="237">
        <v>5788</v>
      </c>
      <c r="AE106" s="79"/>
      <c r="AF106" s="238">
        <v>1929</v>
      </c>
      <c r="AG106" s="79"/>
      <c r="AH106" s="237">
        <v>0</v>
      </c>
      <c r="AI106" s="237"/>
      <c r="AJ106" s="237">
        <v>6456</v>
      </c>
      <c r="AK106" s="237"/>
      <c r="AL106" s="79">
        <v>2152</v>
      </c>
      <c r="AM106" s="237"/>
      <c r="AN106" s="237">
        <v>0</v>
      </c>
      <c r="AO106" s="237"/>
      <c r="AP106" s="237">
        <v>5799</v>
      </c>
      <c r="AQ106" s="237"/>
      <c r="AR106" s="79">
        <v>1933</v>
      </c>
      <c r="AS106" s="56" t="s">
        <v>674</v>
      </c>
      <c r="AT106" s="56"/>
      <c r="AU106" s="56"/>
      <c r="AV106" s="237">
        <v>0</v>
      </c>
      <c r="AW106" s="237"/>
      <c r="AX106" s="237">
        <v>5976</v>
      </c>
      <c r="AY106" s="237"/>
      <c r="AZ106" s="79">
        <v>1992</v>
      </c>
      <c r="BA106" s="237"/>
      <c r="BB106" s="237">
        <v>0</v>
      </c>
      <c r="BC106" s="237"/>
      <c r="BD106" s="237">
        <v>6456</v>
      </c>
      <c r="BE106" s="237"/>
      <c r="BF106" s="79">
        <v>2152</v>
      </c>
      <c r="BG106" s="327"/>
      <c r="BH106" s="327"/>
      <c r="BI106" s="327"/>
      <c r="BJ106" s="327"/>
      <c r="BK106" s="327"/>
      <c r="BL106" s="327"/>
      <c r="BM106" s="155" t="s">
        <v>797</v>
      </c>
    </row>
    <row r="107" spans="1:65" x14ac:dyDescent="0.2">
      <c r="A107" s="257"/>
      <c r="B107" s="257"/>
      <c r="C107" s="257"/>
      <c r="D107" s="87">
        <v>245</v>
      </c>
      <c r="E107" s="257"/>
      <c r="F107" s="88" t="s">
        <v>259</v>
      </c>
      <c r="G107" s="257"/>
      <c r="H107" s="88" t="s">
        <v>260</v>
      </c>
      <c r="I107" s="257"/>
      <c r="J107" s="225">
        <v>2</v>
      </c>
      <c r="K107" s="87"/>
      <c r="L107" s="88" t="s">
        <v>261</v>
      </c>
      <c r="M107" s="87"/>
      <c r="N107" s="87" t="s">
        <v>55</v>
      </c>
      <c r="O107" s="257"/>
      <c r="P107" s="257"/>
      <c r="Q107" s="56">
        <v>904</v>
      </c>
      <c r="R107" s="87">
        <v>818</v>
      </c>
      <c r="S107" s="87"/>
      <c r="T107" s="87">
        <v>0</v>
      </c>
      <c r="U107" s="87"/>
      <c r="V107" s="89">
        <v>1636</v>
      </c>
      <c r="W107" s="87"/>
      <c r="X107" s="79">
        <v>1318</v>
      </c>
      <c r="Y107" s="87"/>
      <c r="Z107" s="82">
        <v>0</v>
      </c>
      <c r="AA107" s="87"/>
      <c r="AB107" s="82">
        <v>2636</v>
      </c>
      <c r="AC107" s="257"/>
      <c r="AD107" s="237">
        <v>2094</v>
      </c>
      <c r="AE107" s="79"/>
      <c r="AF107" s="238">
        <v>1047</v>
      </c>
      <c r="AG107" s="79"/>
      <c r="AH107" s="237">
        <v>0</v>
      </c>
      <c r="AI107" s="237"/>
      <c r="AJ107" s="237">
        <v>1982</v>
      </c>
      <c r="AK107" s="237"/>
      <c r="AL107" s="79">
        <v>991</v>
      </c>
      <c r="AM107" s="237"/>
      <c r="AN107" s="237">
        <v>0</v>
      </c>
      <c r="AO107" s="237"/>
      <c r="AP107" s="237">
        <v>2120</v>
      </c>
      <c r="AQ107" s="237"/>
      <c r="AR107" s="79">
        <v>1060</v>
      </c>
      <c r="AS107" s="56" t="s">
        <v>286</v>
      </c>
      <c r="AT107" s="56"/>
      <c r="AU107" s="56"/>
      <c r="AV107" s="237">
        <v>0</v>
      </c>
      <c r="AW107" s="237"/>
      <c r="AX107" s="237">
        <v>2086</v>
      </c>
      <c r="AY107" s="237"/>
      <c r="AZ107" s="79">
        <v>1043</v>
      </c>
      <c r="BA107" s="237"/>
      <c r="BB107" s="237">
        <v>0</v>
      </c>
      <c r="BC107" s="237"/>
      <c r="BD107" s="237">
        <v>2122</v>
      </c>
      <c r="BE107" s="237"/>
      <c r="BF107" s="79">
        <v>1061</v>
      </c>
      <c r="BG107" s="79"/>
      <c r="BH107" s="79"/>
      <c r="BI107" s="79"/>
      <c r="BJ107" s="79"/>
      <c r="BK107" s="79"/>
      <c r="BL107" s="79"/>
      <c r="BM107" s="315" t="s">
        <v>797</v>
      </c>
    </row>
    <row r="108" spans="1:65" ht="22.5" x14ac:dyDescent="0.2">
      <c r="A108" s="257"/>
      <c r="B108" s="257"/>
      <c r="C108" s="257"/>
      <c r="D108" s="87">
        <v>245</v>
      </c>
      <c r="E108" s="257"/>
      <c r="F108" s="88" t="s">
        <v>266</v>
      </c>
      <c r="G108" s="257"/>
      <c r="H108" s="88" t="s">
        <v>267</v>
      </c>
      <c r="I108" s="257"/>
      <c r="J108" s="225" t="s">
        <v>675</v>
      </c>
      <c r="K108" s="87"/>
      <c r="L108" s="88" t="s">
        <v>269</v>
      </c>
      <c r="M108" s="87"/>
      <c r="N108" s="87" t="s">
        <v>55</v>
      </c>
      <c r="O108" s="257"/>
      <c r="P108" s="257"/>
      <c r="Q108" s="56">
        <v>904</v>
      </c>
      <c r="R108" s="90">
        <v>18582</v>
      </c>
      <c r="S108" s="87"/>
      <c r="T108" s="87">
        <v>0</v>
      </c>
      <c r="U108" s="87"/>
      <c r="V108" s="89">
        <v>2787.36</v>
      </c>
      <c r="W108" s="87"/>
      <c r="X108" s="79"/>
      <c r="Y108" s="87"/>
      <c r="Z108" s="82">
        <v>0</v>
      </c>
      <c r="AA108" s="87"/>
      <c r="AB108" s="82">
        <v>2238.4899999999998</v>
      </c>
      <c r="AC108" s="257"/>
      <c r="AD108" s="237">
        <v>2129</v>
      </c>
      <c r="AE108" s="79"/>
      <c r="AF108" s="238">
        <v>14193</v>
      </c>
      <c r="AG108" s="79"/>
      <c r="AH108" s="237">
        <v>0</v>
      </c>
      <c r="AI108" s="237"/>
      <c r="AJ108" s="237">
        <v>2199</v>
      </c>
      <c r="AK108" s="237"/>
      <c r="AL108" s="79">
        <v>14660</v>
      </c>
      <c r="AM108" s="237"/>
      <c r="AN108" s="237">
        <v>0</v>
      </c>
      <c r="AO108" s="237"/>
      <c r="AP108" s="237">
        <v>1634</v>
      </c>
      <c r="AQ108" s="237"/>
      <c r="AR108" s="79">
        <v>10893</v>
      </c>
      <c r="AS108" s="56" t="s">
        <v>765</v>
      </c>
      <c r="AT108" s="56"/>
      <c r="AU108" s="56"/>
      <c r="AV108" s="237">
        <v>0</v>
      </c>
      <c r="AW108" s="237"/>
      <c r="AX108" s="237">
        <v>1480.8</v>
      </c>
      <c r="AY108" s="237"/>
      <c r="AZ108" s="79">
        <v>9872</v>
      </c>
      <c r="BA108" s="237"/>
      <c r="BB108" s="237">
        <v>0</v>
      </c>
      <c r="BC108" s="237"/>
      <c r="BD108" s="237">
        <v>1873.05</v>
      </c>
      <c r="BE108" s="237"/>
      <c r="BF108" s="79">
        <v>12487</v>
      </c>
      <c r="BG108" s="327"/>
      <c r="BH108" s="327"/>
      <c r="BI108" s="327"/>
      <c r="BJ108" s="327"/>
      <c r="BK108" s="327"/>
      <c r="BL108" s="327"/>
      <c r="BM108" s="155" t="s">
        <v>797</v>
      </c>
    </row>
    <row r="109" spans="1:65" ht="22.5" x14ac:dyDescent="0.2">
      <c r="A109" s="257"/>
      <c r="B109" s="257"/>
      <c r="C109" s="257"/>
      <c r="D109" s="87">
        <v>245</v>
      </c>
      <c r="E109" s="257"/>
      <c r="F109" s="88" t="s">
        <v>270</v>
      </c>
      <c r="G109" s="257"/>
      <c r="H109" s="88" t="s">
        <v>53</v>
      </c>
      <c r="I109" s="257"/>
      <c r="J109" s="225">
        <v>5</v>
      </c>
      <c r="K109" s="87"/>
      <c r="L109" s="88" t="s">
        <v>271</v>
      </c>
      <c r="M109" s="87"/>
      <c r="N109" s="87" t="s">
        <v>55</v>
      </c>
      <c r="O109" s="257"/>
      <c r="P109" s="257"/>
      <c r="Q109" s="56">
        <v>904</v>
      </c>
      <c r="R109" s="87">
        <v>177</v>
      </c>
      <c r="S109" s="87"/>
      <c r="T109" s="87">
        <v>0</v>
      </c>
      <c r="U109" s="87"/>
      <c r="V109" s="89">
        <v>885</v>
      </c>
      <c r="W109" s="87"/>
      <c r="X109" s="79"/>
      <c r="Y109" s="87"/>
      <c r="Z109" s="82">
        <v>0</v>
      </c>
      <c r="AA109" s="87"/>
      <c r="AB109" s="82">
        <v>4093.68</v>
      </c>
      <c r="AC109" s="257"/>
      <c r="AD109" s="82">
        <v>12393</v>
      </c>
      <c r="AE109" s="79"/>
      <c r="AF109" s="79">
        <v>2479</v>
      </c>
      <c r="AG109" s="79"/>
      <c r="AH109" s="82">
        <v>0</v>
      </c>
      <c r="AI109" s="79"/>
      <c r="AJ109" s="82">
        <v>14271</v>
      </c>
      <c r="AK109" s="82"/>
      <c r="AL109" s="79">
        <v>2854</v>
      </c>
      <c r="AM109" s="82"/>
      <c r="AN109" s="82">
        <v>0</v>
      </c>
      <c r="AO109" s="79"/>
      <c r="AP109" s="82">
        <v>6000</v>
      </c>
      <c r="AQ109" s="79"/>
      <c r="AR109" s="79">
        <v>1200</v>
      </c>
      <c r="AS109" s="56" t="s">
        <v>765</v>
      </c>
      <c r="AT109" s="56"/>
      <c r="AU109" s="56"/>
      <c r="AV109" s="82">
        <v>0</v>
      </c>
      <c r="AW109" s="79"/>
      <c r="AX109" s="82">
        <v>3570</v>
      </c>
      <c r="AY109" s="82"/>
      <c r="AZ109" s="79">
        <v>714</v>
      </c>
      <c r="BA109" s="82"/>
      <c r="BB109" s="82">
        <v>0</v>
      </c>
      <c r="BC109" s="79"/>
      <c r="BD109" s="82">
        <v>3260</v>
      </c>
      <c r="BE109" s="79"/>
      <c r="BF109" s="79">
        <v>652</v>
      </c>
      <c r="BG109" s="79"/>
      <c r="BH109" s="79"/>
      <c r="BI109" s="79"/>
      <c r="BJ109" s="79"/>
      <c r="BK109" s="79"/>
      <c r="BL109" s="79"/>
      <c r="BM109" s="315" t="s">
        <v>797</v>
      </c>
    </row>
    <row r="110" spans="1:65" ht="33.75" x14ac:dyDescent="0.2">
      <c r="A110" s="257"/>
      <c r="B110" s="257" t="s">
        <v>287</v>
      </c>
      <c r="C110" s="257"/>
      <c r="D110" s="87">
        <v>246</v>
      </c>
      <c r="E110" s="257"/>
      <c r="F110" s="88" t="s">
        <v>250</v>
      </c>
      <c r="G110" s="257"/>
      <c r="H110" s="88" t="s">
        <v>53</v>
      </c>
      <c r="I110" s="257"/>
      <c r="J110" s="225" t="s">
        <v>251</v>
      </c>
      <c r="K110" s="87"/>
      <c r="L110" s="88" t="s">
        <v>273</v>
      </c>
      <c r="M110" s="87"/>
      <c r="N110" s="87" t="s">
        <v>55</v>
      </c>
      <c r="O110" s="257"/>
      <c r="P110" s="257"/>
      <c r="Q110" s="56">
        <v>904</v>
      </c>
      <c r="R110" s="87">
        <v>974</v>
      </c>
      <c r="S110" s="87"/>
      <c r="T110" s="87">
        <v>0</v>
      </c>
      <c r="U110" s="87"/>
      <c r="V110" s="89">
        <v>40543</v>
      </c>
      <c r="W110" s="87"/>
      <c r="X110" s="79">
        <v>1035</v>
      </c>
      <c r="Y110" s="87"/>
      <c r="Z110" s="82">
        <v>0</v>
      </c>
      <c r="AA110" s="87"/>
      <c r="AB110" s="82">
        <v>46447</v>
      </c>
      <c r="AC110" s="257"/>
      <c r="AD110" s="82">
        <v>43414</v>
      </c>
      <c r="AE110" s="79"/>
      <c r="AF110" s="79">
        <v>1002</v>
      </c>
      <c r="AG110" s="79"/>
      <c r="AH110" s="82">
        <v>0</v>
      </c>
      <c r="AI110" s="79">
        <v>0</v>
      </c>
      <c r="AJ110" s="82">
        <v>43696</v>
      </c>
      <c r="AK110" s="82"/>
      <c r="AL110" s="79">
        <v>1797</v>
      </c>
      <c r="AM110" s="82"/>
      <c r="AN110" s="82">
        <v>0</v>
      </c>
      <c r="AO110" s="79"/>
      <c r="AP110" s="82">
        <v>44010</v>
      </c>
      <c r="AQ110" s="79"/>
      <c r="AR110" s="79">
        <v>1691</v>
      </c>
      <c r="AS110" s="56" t="s">
        <v>673</v>
      </c>
      <c r="AT110" s="56"/>
      <c r="AU110" s="56" t="s">
        <v>252</v>
      </c>
      <c r="AV110" s="82">
        <v>0</v>
      </c>
      <c r="AW110" s="79"/>
      <c r="AX110" s="82">
        <v>43550</v>
      </c>
      <c r="AY110" s="82"/>
      <c r="AZ110" s="79">
        <v>1683</v>
      </c>
      <c r="BA110" s="82"/>
      <c r="BB110" s="82">
        <v>0</v>
      </c>
      <c r="BC110" s="79"/>
      <c r="BD110" s="82">
        <v>52539</v>
      </c>
      <c r="BE110" s="79"/>
      <c r="BF110" s="79">
        <v>1833</v>
      </c>
      <c r="BG110" s="327"/>
      <c r="BH110" s="327"/>
      <c r="BI110" s="327"/>
      <c r="BJ110" s="327"/>
      <c r="BK110" s="327"/>
      <c r="BL110" s="327"/>
      <c r="BM110" s="155" t="s">
        <v>782</v>
      </c>
    </row>
    <row r="111" spans="1:65" ht="22.5" x14ac:dyDescent="0.2">
      <c r="A111" s="257"/>
      <c r="B111" s="257"/>
      <c r="C111" s="257"/>
      <c r="D111" s="87">
        <v>246</v>
      </c>
      <c r="E111" s="257"/>
      <c r="F111" s="88" t="s">
        <v>264</v>
      </c>
      <c r="G111" s="257"/>
      <c r="H111" s="88" t="s">
        <v>53</v>
      </c>
      <c r="I111" s="257"/>
      <c r="J111" s="225">
        <v>3</v>
      </c>
      <c r="K111" s="87"/>
      <c r="L111" s="88" t="s">
        <v>265</v>
      </c>
      <c r="M111" s="87"/>
      <c r="N111" s="87" t="s">
        <v>55</v>
      </c>
      <c r="O111" s="257"/>
      <c r="P111" s="257"/>
      <c r="Q111" s="56">
        <v>904</v>
      </c>
      <c r="R111" s="90">
        <v>2302</v>
      </c>
      <c r="S111" s="87"/>
      <c r="T111" s="87"/>
      <c r="U111" s="87"/>
      <c r="V111" s="89">
        <v>6906</v>
      </c>
      <c r="W111" s="87"/>
      <c r="X111" s="79">
        <v>2599</v>
      </c>
      <c r="Y111" s="87"/>
      <c r="Z111" s="82">
        <v>0</v>
      </c>
      <c r="AA111" s="87"/>
      <c r="AB111" s="82">
        <v>7797</v>
      </c>
      <c r="AC111" s="257"/>
      <c r="AD111" s="82">
        <v>5535</v>
      </c>
      <c r="AE111" s="79"/>
      <c r="AF111" s="79">
        <v>1845</v>
      </c>
      <c r="AG111" s="79"/>
      <c r="AH111" s="82">
        <v>0</v>
      </c>
      <c r="AI111" s="79"/>
      <c r="AJ111" s="82">
        <v>5630</v>
      </c>
      <c r="AK111" s="82"/>
      <c r="AL111" s="79">
        <v>1876</v>
      </c>
      <c r="AM111" s="82"/>
      <c r="AN111" s="82">
        <v>0</v>
      </c>
      <c r="AO111" s="79"/>
      <c r="AP111" s="82">
        <v>5523</v>
      </c>
      <c r="AQ111" s="79"/>
      <c r="AR111" s="79">
        <v>1841</v>
      </c>
      <c r="AS111" s="56" t="s">
        <v>288</v>
      </c>
      <c r="AT111" s="56"/>
      <c r="AU111" s="56"/>
      <c r="AV111" s="82">
        <v>0</v>
      </c>
      <c r="AW111" s="79"/>
      <c r="AX111" s="82">
        <v>4959</v>
      </c>
      <c r="AY111" s="82"/>
      <c r="AZ111" s="79">
        <v>1653</v>
      </c>
      <c r="BA111" s="82"/>
      <c r="BB111" s="82">
        <v>0</v>
      </c>
      <c r="BC111" s="79"/>
      <c r="BD111" s="82">
        <v>4230</v>
      </c>
      <c r="BE111" s="79"/>
      <c r="BF111" s="79">
        <v>1410</v>
      </c>
      <c r="BG111" s="79"/>
      <c r="BH111" s="79"/>
      <c r="BI111" s="79"/>
      <c r="BJ111" s="79"/>
      <c r="BK111" s="79"/>
      <c r="BL111" s="79"/>
      <c r="BM111" s="315" t="s">
        <v>797</v>
      </c>
    </row>
    <row r="112" spans="1:65" ht="22.5" x14ac:dyDescent="0.2">
      <c r="A112" s="257"/>
      <c r="B112" s="257"/>
      <c r="C112" s="257"/>
      <c r="D112" s="87">
        <v>246</v>
      </c>
      <c r="E112" s="257"/>
      <c r="F112" s="88" t="s">
        <v>259</v>
      </c>
      <c r="G112" s="257"/>
      <c r="H112" s="88" t="s">
        <v>260</v>
      </c>
      <c r="I112" s="257"/>
      <c r="J112" s="225">
        <v>2</v>
      </c>
      <c r="K112" s="87"/>
      <c r="L112" s="88" t="s">
        <v>261</v>
      </c>
      <c r="M112" s="87"/>
      <c r="N112" s="87" t="s">
        <v>55</v>
      </c>
      <c r="O112" s="257"/>
      <c r="P112" s="257"/>
      <c r="Q112" s="56">
        <v>904</v>
      </c>
      <c r="R112" s="87">
        <v>584</v>
      </c>
      <c r="S112" s="87"/>
      <c r="T112" s="87">
        <v>0</v>
      </c>
      <c r="U112" s="87"/>
      <c r="V112" s="89">
        <v>1168</v>
      </c>
      <c r="W112" s="87"/>
      <c r="X112" s="79">
        <v>971</v>
      </c>
      <c r="Y112" s="87"/>
      <c r="Z112" s="82">
        <v>0</v>
      </c>
      <c r="AA112" s="87"/>
      <c r="AB112" s="82">
        <v>1942</v>
      </c>
      <c r="AC112" s="257"/>
      <c r="AD112" s="82">
        <v>1548</v>
      </c>
      <c r="AE112" s="79"/>
      <c r="AF112" s="79">
        <v>774</v>
      </c>
      <c r="AG112" s="79"/>
      <c r="AH112" s="82">
        <v>0</v>
      </c>
      <c r="AI112" s="79"/>
      <c r="AJ112" s="82">
        <v>1374</v>
      </c>
      <c r="AK112" s="82"/>
      <c r="AL112" s="79">
        <v>687</v>
      </c>
      <c r="AM112" s="82"/>
      <c r="AN112" s="82">
        <v>0</v>
      </c>
      <c r="AO112" s="79"/>
      <c r="AP112" s="82">
        <v>1104</v>
      </c>
      <c r="AQ112" s="79"/>
      <c r="AR112" s="79">
        <v>552</v>
      </c>
      <c r="AS112" s="56" t="s">
        <v>289</v>
      </c>
      <c r="AT112" s="56"/>
      <c r="AU112" s="56" t="s">
        <v>263</v>
      </c>
      <c r="AV112" s="82">
        <v>0</v>
      </c>
      <c r="AW112" s="79"/>
      <c r="AX112" s="82">
        <v>1290</v>
      </c>
      <c r="AY112" s="82"/>
      <c r="AZ112" s="79">
        <v>645</v>
      </c>
      <c r="BA112" s="82"/>
      <c r="BB112" s="82">
        <v>0</v>
      </c>
      <c r="BC112" s="79"/>
      <c r="BD112" s="82">
        <v>1556</v>
      </c>
      <c r="BE112" s="79"/>
      <c r="BF112" s="79">
        <v>778</v>
      </c>
      <c r="BG112" s="327"/>
      <c r="BH112" s="327"/>
      <c r="BI112" s="327"/>
      <c r="BJ112" s="327"/>
      <c r="BK112" s="327"/>
      <c r="BL112" s="327"/>
      <c r="BM112" s="155" t="s">
        <v>797</v>
      </c>
    </row>
    <row r="113" spans="1:65" x14ac:dyDescent="0.2">
      <c r="A113" s="257"/>
      <c r="B113" s="257"/>
      <c r="C113" s="257"/>
      <c r="D113" s="87">
        <v>246</v>
      </c>
      <c r="E113" s="257"/>
      <c r="F113" s="88" t="s">
        <v>259</v>
      </c>
      <c r="G113" s="257"/>
      <c r="H113" s="88" t="s">
        <v>290</v>
      </c>
      <c r="I113" s="257"/>
      <c r="J113" s="225">
        <v>2</v>
      </c>
      <c r="K113" s="87"/>
      <c r="L113" s="88" t="s">
        <v>261</v>
      </c>
      <c r="M113" s="87"/>
      <c r="N113" s="87" t="s">
        <v>55</v>
      </c>
      <c r="O113" s="257"/>
      <c r="P113" s="257"/>
      <c r="Q113" s="56">
        <v>904</v>
      </c>
      <c r="R113" s="87">
        <v>0</v>
      </c>
      <c r="S113" s="87"/>
      <c r="T113" s="87">
        <v>0</v>
      </c>
      <c r="U113" s="87"/>
      <c r="V113" s="89">
        <v>0</v>
      </c>
      <c r="W113" s="87"/>
      <c r="X113" s="79">
        <v>166</v>
      </c>
      <c r="Y113" s="87"/>
      <c r="Z113" s="82">
        <v>0</v>
      </c>
      <c r="AA113" s="87"/>
      <c r="AB113" s="82">
        <v>322</v>
      </c>
      <c r="AC113" s="257"/>
      <c r="AD113" s="82">
        <v>198</v>
      </c>
      <c r="AE113" s="79"/>
      <c r="AF113" s="79">
        <v>99</v>
      </c>
      <c r="AG113" s="79"/>
      <c r="AH113" s="82">
        <v>0</v>
      </c>
      <c r="AI113" s="79"/>
      <c r="AJ113" s="82">
        <v>232</v>
      </c>
      <c r="AK113" s="82"/>
      <c r="AL113" s="79">
        <v>116</v>
      </c>
      <c r="AM113" s="82"/>
      <c r="AN113" s="82">
        <v>0</v>
      </c>
      <c r="AO113" s="79"/>
      <c r="AP113" s="82">
        <v>222</v>
      </c>
      <c r="AQ113" s="79"/>
      <c r="AR113" s="79">
        <v>111</v>
      </c>
      <c r="AS113" s="56" t="s">
        <v>262</v>
      </c>
      <c r="AT113" s="56"/>
      <c r="AU113" s="56" t="s">
        <v>291</v>
      </c>
      <c r="AV113" s="82">
        <v>0</v>
      </c>
      <c r="AW113" s="79"/>
      <c r="AX113" s="82">
        <v>244</v>
      </c>
      <c r="AY113" s="82"/>
      <c r="AZ113" s="79">
        <v>122</v>
      </c>
      <c r="BA113" s="82"/>
      <c r="BB113" s="82">
        <v>0</v>
      </c>
      <c r="BC113" s="79"/>
      <c r="BD113" s="82">
        <v>216</v>
      </c>
      <c r="BE113" s="79"/>
      <c r="BF113" s="79">
        <v>108</v>
      </c>
      <c r="BG113" s="79"/>
      <c r="BH113" s="79"/>
      <c r="BI113" s="79"/>
      <c r="BJ113" s="79"/>
      <c r="BK113" s="79"/>
      <c r="BL113" s="79"/>
      <c r="BM113" s="315" t="s">
        <v>797</v>
      </c>
    </row>
    <row r="114" spans="1:65" ht="22.5" x14ac:dyDescent="0.2">
      <c r="A114" s="257"/>
      <c r="B114" s="257"/>
      <c r="C114" s="257"/>
      <c r="D114" s="87">
        <v>246</v>
      </c>
      <c r="E114" s="257"/>
      <c r="F114" s="88" t="s">
        <v>266</v>
      </c>
      <c r="G114" s="257"/>
      <c r="H114" s="88" t="s">
        <v>267</v>
      </c>
      <c r="I114" s="257"/>
      <c r="J114" s="225" t="s">
        <v>268</v>
      </c>
      <c r="K114" s="87"/>
      <c r="L114" s="88" t="s">
        <v>269</v>
      </c>
      <c r="M114" s="87"/>
      <c r="N114" s="87" t="s">
        <v>55</v>
      </c>
      <c r="O114" s="257"/>
      <c r="P114" s="257"/>
      <c r="Q114" s="56">
        <v>904</v>
      </c>
      <c r="R114" s="87">
        <v>7</v>
      </c>
      <c r="S114" s="87"/>
      <c r="T114" s="87">
        <v>0</v>
      </c>
      <c r="U114" s="87"/>
      <c r="V114" s="89">
        <v>910</v>
      </c>
      <c r="W114" s="87"/>
      <c r="X114" s="79">
        <v>0</v>
      </c>
      <c r="Y114" s="87"/>
      <c r="Z114" s="82">
        <v>0</v>
      </c>
      <c r="AA114" s="87"/>
      <c r="AB114" s="82">
        <v>0</v>
      </c>
      <c r="AC114" s="257"/>
      <c r="AD114" s="82">
        <v>714.05</v>
      </c>
      <c r="AE114" s="79"/>
      <c r="AF114" s="79">
        <v>4760</v>
      </c>
      <c r="AG114" s="79"/>
      <c r="AH114" s="82">
        <v>0</v>
      </c>
      <c r="AI114" s="79"/>
      <c r="AJ114" s="82">
        <v>387.25</v>
      </c>
      <c r="AK114" s="82"/>
      <c r="AL114" s="79">
        <v>2580</v>
      </c>
      <c r="AM114" s="82"/>
      <c r="AN114" s="82">
        <v>0</v>
      </c>
      <c r="AO114" s="79"/>
      <c r="AP114" s="82">
        <v>342.1</v>
      </c>
      <c r="AQ114" s="79"/>
      <c r="AR114" s="79">
        <v>2280</v>
      </c>
      <c r="AS114" s="56" t="s">
        <v>765</v>
      </c>
      <c r="AT114" s="56"/>
      <c r="AU114" s="56"/>
      <c r="AV114" s="82">
        <v>0</v>
      </c>
      <c r="AW114" s="79"/>
      <c r="AX114" s="82">
        <v>575</v>
      </c>
      <c r="AY114" s="82"/>
      <c r="AZ114" s="79">
        <v>3831</v>
      </c>
      <c r="BA114" s="82"/>
      <c r="BB114" s="82">
        <v>0</v>
      </c>
      <c r="BC114" s="79"/>
      <c r="BD114" s="82">
        <v>460</v>
      </c>
      <c r="BE114" s="79"/>
      <c r="BF114" s="79">
        <v>3070</v>
      </c>
      <c r="BG114" s="327"/>
      <c r="BH114" s="327"/>
      <c r="BI114" s="327"/>
      <c r="BJ114" s="327"/>
      <c r="BK114" s="327"/>
      <c r="BL114" s="327"/>
      <c r="BM114" s="155" t="s">
        <v>797</v>
      </c>
    </row>
    <row r="115" spans="1:65" ht="22.5" x14ac:dyDescent="0.2">
      <c r="A115" s="257"/>
      <c r="B115" s="257"/>
      <c r="C115" s="257"/>
      <c r="D115" s="87">
        <v>246</v>
      </c>
      <c r="E115" s="257"/>
      <c r="F115" s="88" t="s">
        <v>270</v>
      </c>
      <c r="G115" s="257"/>
      <c r="H115" s="88" t="s">
        <v>53</v>
      </c>
      <c r="I115" s="257"/>
      <c r="J115" s="225">
        <v>5</v>
      </c>
      <c r="K115" s="87"/>
      <c r="L115" s="88" t="s">
        <v>271</v>
      </c>
      <c r="M115" s="87"/>
      <c r="N115" s="87" t="s">
        <v>55</v>
      </c>
      <c r="O115" s="257"/>
      <c r="P115" s="257"/>
      <c r="Q115" s="56">
        <v>904</v>
      </c>
      <c r="R115" s="90">
        <v>2144</v>
      </c>
      <c r="S115" s="87"/>
      <c r="T115" s="87">
        <v>0</v>
      </c>
      <c r="U115" s="87"/>
      <c r="V115" s="89">
        <v>10721</v>
      </c>
      <c r="W115" s="87"/>
      <c r="X115" s="79">
        <v>2043</v>
      </c>
      <c r="Y115" s="87"/>
      <c r="Z115" s="82">
        <v>0</v>
      </c>
      <c r="AA115" s="87"/>
      <c r="AB115" s="82">
        <v>10215</v>
      </c>
      <c r="AC115" s="257"/>
      <c r="AD115" s="82">
        <v>7480</v>
      </c>
      <c r="AE115" s="79"/>
      <c r="AF115" s="79">
        <v>1496</v>
      </c>
      <c r="AG115" s="79"/>
      <c r="AH115" s="82">
        <v>0</v>
      </c>
      <c r="AI115" s="79"/>
      <c r="AJ115" s="82">
        <v>6650</v>
      </c>
      <c r="AK115" s="82"/>
      <c r="AL115" s="79">
        <v>1330</v>
      </c>
      <c r="AM115" s="82"/>
      <c r="AN115" s="82">
        <v>0</v>
      </c>
      <c r="AO115" s="79"/>
      <c r="AP115" s="82">
        <v>1430</v>
      </c>
      <c r="AQ115" s="79"/>
      <c r="AR115" s="79">
        <v>286</v>
      </c>
      <c r="AS115" s="56" t="s">
        <v>765</v>
      </c>
      <c r="AT115" s="56"/>
      <c r="AU115" s="56"/>
      <c r="AV115" s="82">
        <v>0</v>
      </c>
      <c r="AW115" s="79"/>
      <c r="AX115" s="82">
        <v>1225</v>
      </c>
      <c r="AY115" s="82"/>
      <c r="AZ115" s="79">
        <v>245</v>
      </c>
      <c r="BA115" s="82"/>
      <c r="BB115" s="82">
        <v>0</v>
      </c>
      <c r="BC115" s="79"/>
      <c r="BD115" s="82">
        <v>1095</v>
      </c>
      <c r="BE115" s="79"/>
      <c r="BF115" s="79">
        <v>219</v>
      </c>
      <c r="BG115" s="79"/>
      <c r="BH115" s="79"/>
      <c r="BI115" s="79"/>
      <c r="BJ115" s="79"/>
      <c r="BK115" s="79"/>
      <c r="BL115" s="79"/>
      <c r="BM115" s="315" t="s">
        <v>797</v>
      </c>
    </row>
    <row r="116" spans="1:65" ht="22.5" x14ac:dyDescent="0.2">
      <c r="A116" s="257"/>
      <c r="B116" s="257"/>
      <c r="C116" s="257"/>
      <c r="D116" s="87">
        <v>246</v>
      </c>
      <c r="E116" s="257"/>
      <c r="F116" s="88" t="s">
        <v>772</v>
      </c>
      <c r="G116" s="257"/>
      <c r="H116" s="88" t="s">
        <v>666</v>
      </c>
      <c r="I116" s="257"/>
      <c r="J116" s="225">
        <v>0.11</v>
      </c>
      <c r="K116" s="87"/>
      <c r="L116" s="88" t="s">
        <v>667</v>
      </c>
      <c r="M116" s="87"/>
      <c r="N116" s="87" t="s">
        <v>55</v>
      </c>
      <c r="O116" s="257"/>
      <c r="P116" s="257"/>
      <c r="Q116" s="56">
        <v>904</v>
      </c>
      <c r="R116" s="90"/>
      <c r="S116" s="87"/>
      <c r="T116" s="87"/>
      <c r="U116" s="87"/>
      <c r="V116" s="89"/>
      <c r="W116" s="87"/>
      <c r="X116" s="79">
        <v>6901</v>
      </c>
      <c r="Y116" s="87"/>
      <c r="Z116" s="82">
        <v>0</v>
      </c>
      <c r="AA116" s="87"/>
      <c r="AB116" s="82">
        <v>759.11</v>
      </c>
      <c r="AC116" s="257"/>
      <c r="AD116" s="82">
        <v>8261</v>
      </c>
      <c r="AE116" s="79"/>
      <c r="AF116" s="79">
        <v>80598</v>
      </c>
      <c r="AG116" s="79"/>
      <c r="AH116" s="82">
        <v>0</v>
      </c>
      <c r="AI116" s="79"/>
      <c r="AJ116" s="82">
        <v>10852.1</v>
      </c>
      <c r="AK116" s="82"/>
      <c r="AL116" s="79">
        <v>106510</v>
      </c>
      <c r="AM116" s="82"/>
      <c r="AN116" s="82">
        <v>0</v>
      </c>
      <c r="AO116" s="79"/>
      <c r="AP116" s="82">
        <v>16969.59</v>
      </c>
      <c r="AQ116" s="79"/>
      <c r="AR116" s="79">
        <v>154269</v>
      </c>
      <c r="AS116" s="56" t="s">
        <v>262</v>
      </c>
      <c r="AT116" s="56"/>
      <c r="AU116" s="56"/>
      <c r="AV116" s="82">
        <v>0</v>
      </c>
      <c r="AW116" s="79"/>
      <c r="AX116" s="82">
        <v>20456</v>
      </c>
      <c r="AY116" s="82"/>
      <c r="AZ116" s="79">
        <v>185967</v>
      </c>
      <c r="BA116" s="82"/>
      <c r="BB116" s="82">
        <v>0</v>
      </c>
      <c r="BC116" s="79"/>
      <c r="BD116" s="82">
        <v>24482</v>
      </c>
      <c r="BE116" s="79"/>
      <c r="BF116" s="79">
        <v>222570</v>
      </c>
      <c r="BG116" s="327"/>
      <c r="BH116" s="327"/>
      <c r="BI116" s="327"/>
      <c r="BJ116" s="327"/>
      <c r="BK116" s="327"/>
      <c r="BL116" s="327"/>
      <c r="BM116" s="155" t="s">
        <v>797</v>
      </c>
    </row>
    <row r="117" spans="1:65" x14ac:dyDescent="0.2">
      <c r="A117" s="257"/>
      <c r="B117" s="257"/>
      <c r="C117" s="257"/>
      <c r="D117" s="87">
        <v>243</v>
      </c>
      <c r="E117" s="257"/>
      <c r="F117" s="88" t="s">
        <v>253</v>
      </c>
      <c r="G117" s="257"/>
      <c r="H117" s="88" t="s">
        <v>254</v>
      </c>
      <c r="I117" s="257"/>
      <c r="J117" s="225" t="s">
        <v>278</v>
      </c>
      <c r="K117" s="87"/>
      <c r="L117" s="88" t="s">
        <v>279</v>
      </c>
      <c r="M117" s="87"/>
      <c r="N117" s="87" t="s">
        <v>55</v>
      </c>
      <c r="O117" s="257"/>
      <c r="P117" s="257">
        <v>2010</v>
      </c>
      <c r="Q117" s="56">
        <v>904</v>
      </c>
      <c r="R117" s="87">
        <v>5</v>
      </c>
      <c r="S117" s="87"/>
      <c r="T117" s="87">
        <v>0</v>
      </c>
      <c r="U117" s="87"/>
      <c r="V117" s="89">
        <v>25432.22</v>
      </c>
      <c r="W117" s="87"/>
      <c r="X117" s="79">
        <v>5</v>
      </c>
      <c r="Y117" s="87"/>
      <c r="Z117" s="82">
        <v>0</v>
      </c>
      <c r="AA117" s="87"/>
      <c r="AB117" s="82">
        <v>26202</v>
      </c>
      <c r="AC117" s="257"/>
      <c r="AD117" s="82"/>
      <c r="AE117" s="79"/>
      <c r="AF117" s="79"/>
      <c r="AG117" s="79"/>
      <c r="AH117" s="82"/>
      <c r="AI117" s="79"/>
      <c r="AJ117" s="82"/>
      <c r="AK117" s="82"/>
      <c r="AL117" s="79"/>
      <c r="AM117" s="82"/>
      <c r="AN117" s="82"/>
      <c r="AO117" s="79"/>
      <c r="AP117" s="82"/>
      <c r="AQ117" s="79"/>
      <c r="AR117" s="79"/>
      <c r="AS117" s="56" t="s">
        <v>765</v>
      </c>
      <c r="AT117" s="56"/>
      <c r="AU117" s="56" t="s">
        <v>256</v>
      </c>
      <c r="AV117" s="82">
        <v>0</v>
      </c>
      <c r="AW117" s="79"/>
      <c r="AX117" s="82">
        <v>0</v>
      </c>
      <c r="AY117" s="82"/>
      <c r="AZ117" s="79">
        <v>0</v>
      </c>
      <c r="BA117" s="82">
        <v>0</v>
      </c>
      <c r="BB117" s="82">
        <v>0</v>
      </c>
      <c r="BC117" s="79"/>
      <c r="BD117" s="82">
        <v>7727</v>
      </c>
      <c r="BE117" s="79"/>
      <c r="BF117" s="79">
        <v>3</v>
      </c>
      <c r="BG117" s="79"/>
      <c r="BH117" s="79"/>
      <c r="BI117" s="79"/>
      <c r="BJ117" s="79"/>
      <c r="BK117" s="79"/>
      <c r="BL117" s="79"/>
      <c r="BM117" s="315" t="s">
        <v>797</v>
      </c>
    </row>
    <row r="118" spans="1:65" ht="33.75" x14ac:dyDescent="0.2">
      <c r="A118" s="257"/>
      <c r="B118" s="257" t="s">
        <v>292</v>
      </c>
      <c r="C118" s="257"/>
      <c r="D118" s="87">
        <v>247</v>
      </c>
      <c r="E118" s="257"/>
      <c r="F118" s="88" t="s">
        <v>293</v>
      </c>
      <c r="G118" s="257"/>
      <c r="H118" s="88" t="s">
        <v>53</v>
      </c>
      <c r="I118" s="257"/>
      <c r="J118" s="225" t="s">
        <v>294</v>
      </c>
      <c r="K118" s="87"/>
      <c r="L118" s="88" t="s">
        <v>255</v>
      </c>
      <c r="M118" s="87"/>
      <c r="N118" s="87" t="s">
        <v>55</v>
      </c>
      <c r="O118" s="257"/>
      <c r="P118" s="257"/>
      <c r="Q118" s="56">
        <v>904</v>
      </c>
      <c r="R118" s="87"/>
      <c r="S118" s="87"/>
      <c r="T118" s="87">
        <v>0</v>
      </c>
      <c r="U118" s="87"/>
      <c r="V118" s="89">
        <v>152702.30000000002</v>
      </c>
      <c r="W118" s="87"/>
      <c r="X118" s="79"/>
      <c r="Y118" s="87"/>
      <c r="Z118" s="82">
        <v>0</v>
      </c>
      <c r="AA118" s="87"/>
      <c r="AB118" s="82">
        <v>176334</v>
      </c>
      <c r="AC118" s="257"/>
      <c r="AD118" s="82">
        <v>172644</v>
      </c>
      <c r="AE118" s="79"/>
      <c r="AF118" s="79"/>
      <c r="AG118" s="79"/>
      <c r="AH118" s="82">
        <v>0</v>
      </c>
      <c r="AI118" s="79"/>
      <c r="AJ118" s="82">
        <v>169369</v>
      </c>
      <c r="AK118" s="82"/>
      <c r="AL118" s="79">
        <v>1852</v>
      </c>
      <c r="AM118" s="82"/>
      <c r="AN118" s="82">
        <v>0</v>
      </c>
      <c r="AO118" s="79"/>
      <c r="AP118" s="82">
        <v>120033</v>
      </c>
      <c r="AQ118" s="79"/>
      <c r="AR118" s="79">
        <v>1368</v>
      </c>
      <c r="AS118" s="56" t="s">
        <v>295</v>
      </c>
      <c r="AT118" s="56"/>
      <c r="AU118" s="56"/>
      <c r="AV118" s="82">
        <v>130713.06</v>
      </c>
      <c r="AW118" s="79"/>
      <c r="AX118" s="82">
        <v>82138.710000000006</v>
      </c>
      <c r="AY118" s="82"/>
      <c r="AZ118" s="79">
        <v>57</v>
      </c>
      <c r="BA118" s="82"/>
      <c r="BB118" s="82">
        <v>92411.72</v>
      </c>
      <c r="BC118" s="79"/>
      <c r="BD118" s="82">
        <v>57690.18</v>
      </c>
      <c r="BE118" s="79"/>
      <c r="BF118" s="79">
        <v>53</v>
      </c>
      <c r="BG118" s="327"/>
      <c r="BH118" s="327"/>
      <c r="BI118" s="327"/>
      <c r="BJ118" s="327"/>
      <c r="BK118" s="327"/>
      <c r="BL118" s="327"/>
      <c r="BM118" s="155" t="s">
        <v>797</v>
      </c>
    </row>
    <row r="119" spans="1:65" ht="22.5" x14ac:dyDescent="0.2">
      <c r="A119" s="257"/>
      <c r="B119" s="257"/>
      <c r="C119" s="257"/>
      <c r="D119" s="87">
        <v>247</v>
      </c>
      <c r="E119" s="257"/>
      <c r="F119" s="88" t="s">
        <v>250</v>
      </c>
      <c r="G119" s="257"/>
      <c r="H119" s="88" t="s">
        <v>53</v>
      </c>
      <c r="I119" s="257"/>
      <c r="J119" s="225" t="s">
        <v>251</v>
      </c>
      <c r="K119" s="87"/>
      <c r="L119" s="88" t="s">
        <v>273</v>
      </c>
      <c r="M119" s="87"/>
      <c r="N119" s="87" t="s">
        <v>55</v>
      </c>
      <c r="O119" s="257"/>
      <c r="P119" s="257"/>
      <c r="Q119" s="56">
        <v>904</v>
      </c>
      <c r="R119" s="87"/>
      <c r="S119" s="87"/>
      <c r="T119" s="87">
        <v>0</v>
      </c>
      <c r="U119" s="87"/>
      <c r="V119" s="89">
        <v>26725.46</v>
      </c>
      <c r="W119" s="87"/>
      <c r="X119" s="79"/>
      <c r="Y119" s="87"/>
      <c r="Z119" s="82">
        <v>0</v>
      </c>
      <c r="AA119" s="87"/>
      <c r="AB119" s="82">
        <v>32965</v>
      </c>
      <c r="AC119" s="257"/>
      <c r="AD119" s="82">
        <v>20810</v>
      </c>
      <c r="AE119" s="79"/>
      <c r="AF119" s="79"/>
      <c r="AG119" s="79"/>
      <c r="AH119" s="82">
        <v>0</v>
      </c>
      <c r="AI119" s="79"/>
      <c r="AJ119" s="82">
        <v>17694</v>
      </c>
      <c r="AK119" s="82"/>
      <c r="AL119" s="79">
        <v>1210</v>
      </c>
      <c r="AM119" s="82"/>
      <c r="AN119" s="82">
        <v>0</v>
      </c>
      <c r="AO119" s="79"/>
      <c r="AP119" s="82">
        <v>14347</v>
      </c>
      <c r="AQ119" s="79"/>
      <c r="AR119" s="79">
        <v>1153</v>
      </c>
      <c r="AS119" s="56"/>
      <c r="AT119" s="56"/>
      <c r="AU119" s="56"/>
      <c r="AV119" s="82">
        <v>0</v>
      </c>
      <c r="AW119" s="79"/>
      <c r="AX119" s="82">
        <v>15735.94</v>
      </c>
      <c r="AY119" s="82"/>
      <c r="AZ119" s="79">
        <v>1177</v>
      </c>
      <c r="BA119" s="82"/>
      <c r="BB119" s="82">
        <v>0</v>
      </c>
      <c r="BC119" s="79"/>
      <c r="BD119" s="82">
        <v>15276.12</v>
      </c>
      <c r="BE119" s="79"/>
      <c r="BF119" s="79">
        <v>1165</v>
      </c>
      <c r="BG119" s="79"/>
      <c r="BH119" s="79"/>
      <c r="BI119" s="79"/>
      <c r="BJ119" s="79"/>
      <c r="BK119" s="79"/>
      <c r="BL119" s="79"/>
      <c r="BM119" s="315" t="s">
        <v>782</v>
      </c>
    </row>
    <row r="120" spans="1:65" ht="22.5" x14ac:dyDescent="0.2">
      <c r="A120" s="257"/>
      <c r="B120" s="257"/>
      <c r="C120" s="257"/>
      <c r="D120" s="87">
        <v>247</v>
      </c>
      <c r="E120" s="257"/>
      <c r="F120" s="88" t="s">
        <v>264</v>
      </c>
      <c r="G120" s="257"/>
      <c r="H120" s="88" t="s">
        <v>53</v>
      </c>
      <c r="I120" s="257"/>
      <c r="J120" s="225" t="s">
        <v>668</v>
      </c>
      <c r="K120" s="87"/>
      <c r="L120" s="88" t="s">
        <v>669</v>
      </c>
      <c r="M120" s="87"/>
      <c r="N120" s="87" t="s">
        <v>55</v>
      </c>
      <c r="O120" s="257"/>
      <c r="P120" s="257"/>
      <c r="Q120" s="56">
        <v>904</v>
      </c>
      <c r="R120" s="90">
        <v>1029</v>
      </c>
      <c r="S120" s="87"/>
      <c r="T120" s="87"/>
      <c r="U120" s="87"/>
      <c r="V120" s="89">
        <v>3088.37</v>
      </c>
      <c r="W120" s="87"/>
      <c r="X120" s="79">
        <v>948</v>
      </c>
      <c r="Y120" s="87"/>
      <c r="Z120" s="82">
        <v>0</v>
      </c>
      <c r="AA120" s="87"/>
      <c r="AB120" s="82">
        <v>2844</v>
      </c>
      <c r="AC120" s="257"/>
      <c r="AD120" s="82">
        <v>2899</v>
      </c>
      <c r="AE120" s="79"/>
      <c r="AF120" s="79">
        <v>966</v>
      </c>
      <c r="AG120" s="79"/>
      <c r="AH120" s="82">
        <v>0</v>
      </c>
      <c r="AI120" s="79"/>
      <c r="AJ120" s="82">
        <v>3114</v>
      </c>
      <c r="AK120" s="82"/>
      <c r="AL120" s="79">
        <v>1038</v>
      </c>
      <c r="AM120" s="82"/>
      <c r="AN120" s="82">
        <v>0</v>
      </c>
      <c r="AO120" s="79"/>
      <c r="AP120" s="82">
        <v>2661</v>
      </c>
      <c r="AQ120" s="79"/>
      <c r="AR120" s="79">
        <v>887</v>
      </c>
      <c r="AS120" s="56"/>
      <c r="AT120" s="56"/>
      <c r="AU120" s="56"/>
      <c r="AV120" s="82">
        <v>0</v>
      </c>
      <c r="AW120" s="79"/>
      <c r="AX120" s="82">
        <v>2438</v>
      </c>
      <c r="AY120" s="82"/>
      <c r="AZ120" s="79">
        <v>813</v>
      </c>
      <c r="BA120" s="82"/>
      <c r="BB120" s="82">
        <v>0</v>
      </c>
      <c r="BC120" s="79"/>
      <c r="BD120" s="82">
        <v>2128.77</v>
      </c>
      <c r="BE120" s="79"/>
      <c r="BF120" s="79">
        <v>710</v>
      </c>
      <c r="BG120" s="327"/>
      <c r="BH120" s="327"/>
      <c r="BI120" s="327"/>
      <c r="BJ120" s="327"/>
      <c r="BK120" s="327"/>
      <c r="BL120" s="327"/>
      <c r="BM120" s="155" t="s">
        <v>797</v>
      </c>
    </row>
    <row r="121" spans="1:65" ht="22.5" x14ac:dyDescent="0.2">
      <c r="A121" s="257"/>
      <c r="B121" s="257"/>
      <c r="C121" s="257"/>
      <c r="D121" s="87">
        <v>247</v>
      </c>
      <c r="E121" s="257"/>
      <c r="F121" s="88" t="s">
        <v>266</v>
      </c>
      <c r="G121" s="257"/>
      <c r="H121" s="88" t="s">
        <v>267</v>
      </c>
      <c r="I121" s="257"/>
      <c r="J121" s="225" t="s">
        <v>268</v>
      </c>
      <c r="K121" s="87"/>
      <c r="L121" s="88" t="s">
        <v>269</v>
      </c>
      <c r="M121" s="87"/>
      <c r="N121" s="87" t="s">
        <v>55</v>
      </c>
      <c r="O121" s="257"/>
      <c r="P121" s="257"/>
      <c r="Q121" s="56">
        <v>904</v>
      </c>
      <c r="R121" s="87"/>
      <c r="S121" s="87"/>
      <c r="T121" s="87">
        <v>0</v>
      </c>
      <c r="U121" s="87"/>
      <c r="V121" s="89">
        <f>1281.92+273.48</f>
        <v>1555.4</v>
      </c>
      <c r="W121" s="87"/>
      <c r="X121" s="79"/>
      <c r="Y121" s="87"/>
      <c r="Z121" s="82">
        <v>0</v>
      </c>
      <c r="AA121" s="87"/>
      <c r="AB121" s="82">
        <v>378</v>
      </c>
      <c r="AC121" s="257"/>
      <c r="AD121" s="82">
        <v>527</v>
      </c>
      <c r="AE121" s="79"/>
      <c r="AF121" s="79"/>
      <c r="AG121" s="79"/>
      <c r="AH121" s="82">
        <v>0</v>
      </c>
      <c r="AI121" s="79"/>
      <c r="AJ121" s="82">
        <v>501</v>
      </c>
      <c r="AK121" s="82"/>
      <c r="AL121" s="79">
        <v>1978</v>
      </c>
      <c r="AM121" s="82"/>
      <c r="AN121" s="82">
        <v>0</v>
      </c>
      <c r="AO121" s="79"/>
      <c r="AP121" s="82">
        <v>479</v>
      </c>
      <c r="AQ121" s="79"/>
      <c r="AR121" s="79">
        <v>506</v>
      </c>
      <c r="AS121" s="56" t="s">
        <v>765</v>
      </c>
      <c r="AT121" s="56"/>
      <c r="AU121" s="56"/>
      <c r="AV121" s="82">
        <v>0</v>
      </c>
      <c r="AW121" s="79"/>
      <c r="AX121" s="82">
        <v>404.2</v>
      </c>
      <c r="AY121" s="82"/>
      <c r="AZ121" s="79">
        <v>2695</v>
      </c>
      <c r="BA121" s="82"/>
      <c r="BB121" s="82">
        <v>0</v>
      </c>
      <c r="BC121" s="79"/>
      <c r="BD121" s="82">
        <v>323.19</v>
      </c>
      <c r="BE121" s="79"/>
      <c r="BF121" s="79">
        <v>2154</v>
      </c>
      <c r="BG121" s="79"/>
      <c r="BH121" s="79"/>
      <c r="BI121" s="79"/>
      <c r="BJ121" s="79"/>
      <c r="BK121" s="79"/>
      <c r="BL121" s="79"/>
      <c r="BM121" s="315" t="s">
        <v>797</v>
      </c>
    </row>
    <row r="122" spans="1:65" ht="22.5" x14ac:dyDescent="0.2">
      <c r="A122" s="257"/>
      <c r="B122" s="257"/>
      <c r="C122" s="257"/>
      <c r="D122" s="87">
        <v>247</v>
      </c>
      <c r="E122" s="257"/>
      <c r="F122" s="88" t="s">
        <v>270</v>
      </c>
      <c r="G122" s="257"/>
      <c r="H122" s="88" t="s">
        <v>53</v>
      </c>
      <c r="I122" s="257"/>
      <c r="J122" s="225">
        <v>5</v>
      </c>
      <c r="K122" s="87"/>
      <c r="L122" s="88" t="s">
        <v>271</v>
      </c>
      <c r="M122" s="87"/>
      <c r="N122" s="87" t="s">
        <v>55</v>
      </c>
      <c r="O122" s="257"/>
      <c r="P122" s="257"/>
      <c r="Q122" s="56">
        <v>904</v>
      </c>
      <c r="R122" s="87">
        <v>789</v>
      </c>
      <c r="S122" s="87"/>
      <c r="T122" s="87">
        <v>0</v>
      </c>
      <c r="U122" s="87"/>
      <c r="V122" s="89">
        <v>3942.7</v>
      </c>
      <c r="W122" s="87"/>
      <c r="X122" s="79">
        <v>783</v>
      </c>
      <c r="Y122" s="87"/>
      <c r="Z122" s="82">
        <v>0</v>
      </c>
      <c r="AA122" s="87"/>
      <c r="AB122" s="82">
        <v>3916</v>
      </c>
      <c r="AC122" s="257"/>
      <c r="AD122" s="82">
        <v>3000</v>
      </c>
      <c r="AE122" s="79"/>
      <c r="AF122" s="79">
        <v>600</v>
      </c>
      <c r="AG122" s="79"/>
      <c r="AH122" s="82">
        <v>0</v>
      </c>
      <c r="AI122" s="79"/>
      <c r="AJ122" s="82">
        <v>1213</v>
      </c>
      <c r="AK122" s="82"/>
      <c r="AL122" s="79">
        <v>242</v>
      </c>
      <c r="AM122" s="82"/>
      <c r="AN122" s="82">
        <v>0</v>
      </c>
      <c r="AO122" s="79"/>
      <c r="AP122" s="82">
        <v>801</v>
      </c>
      <c r="AQ122" s="79"/>
      <c r="AR122" s="79">
        <v>160</v>
      </c>
      <c r="AS122" s="56" t="s">
        <v>765</v>
      </c>
      <c r="AT122" s="56"/>
      <c r="AU122" s="56"/>
      <c r="AV122" s="82">
        <v>0</v>
      </c>
      <c r="AW122" s="79"/>
      <c r="AX122" s="82">
        <v>484</v>
      </c>
      <c r="AY122" s="82"/>
      <c r="AZ122" s="79">
        <v>97</v>
      </c>
      <c r="BA122" s="82"/>
      <c r="BB122" s="82">
        <v>0</v>
      </c>
      <c r="BC122" s="79"/>
      <c r="BD122" s="82">
        <v>476.06</v>
      </c>
      <c r="BE122" s="79"/>
      <c r="BF122" s="232">
        <v>95</v>
      </c>
      <c r="BG122" s="327"/>
      <c r="BH122" s="327"/>
      <c r="BI122" s="327"/>
      <c r="BJ122" s="327"/>
      <c r="BK122" s="327"/>
      <c r="BL122" s="327"/>
      <c r="BM122" s="155" t="s">
        <v>797</v>
      </c>
    </row>
    <row r="123" spans="1:65" x14ac:dyDescent="0.2">
      <c r="A123" s="257"/>
      <c r="B123" s="257"/>
      <c r="C123" s="257"/>
      <c r="D123" s="87">
        <v>247</v>
      </c>
      <c r="E123" s="257"/>
      <c r="F123" s="88" t="s">
        <v>259</v>
      </c>
      <c r="G123" s="257"/>
      <c r="H123" s="88" t="s">
        <v>260</v>
      </c>
      <c r="I123" s="257"/>
      <c r="J123" s="225">
        <v>2</v>
      </c>
      <c r="K123" s="87"/>
      <c r="L123" s="88" t="s">
        <v>261</v>
      </c>
      <c r="M123" s="87"/>
      <c r="N123" s="87" t="s">
        <v>55</v>
      </c>
      <c r="O123" s="257"/>
      <c r="P123" s="257"/>
      <c r="Q123" s="56">
        <v>904</v>
      </c>
      <c r="R123" s="87"/>
      <c r="S123" s="87"/>
      <c r="T123" s="87"/>
      <c r="U123" s="87"/>
      <c r="V123" s="89">
        <v>596.5</v>
      </c>
      <c r="W123" s="87"/>
      <c r="X123" s="79"/>
      <c r="Y123" s="87"/>
      <c r="Z123" s="82">
        <v>0</v>
      </c>
      <c r="AA123" s="87"/>
      <c r="AB123" s="82">
        <v>820</v>
      </c>
      <c r="AC123" s="257"/>
      <c r="AD123" s="82">
        <v>828</v>
      </c>
      <c r="AE123" s="79"/>
      <c r="AF123" s="79">
        <v>414</v>
      </c>
      <c r="AG123" s="79"/>
      <c r="AH123" s="82">
        <v>0</v>
      </c>
      <c r="AI123" s="79"/>
      <c r="AJ123" s="82">
        <v>894</v>
      </c>
      <c r="AK123" s="82"/>
      <c r="AL123" s="79">
        <v>447</v>
      </c>
      <c r="AM123" s="82"/>
      <c r="AN123" s="82">
        <v>0</v>
      </c>
      <c r="AO123" s="79"/>
      <c r="AP123" s="82">
        <v>788</v>
      </c>
      <c r="AQ123" s="79"/>
      <c r="AR123" s="79">
        <v>394</v>
      </c>
      <c r="AS123" s="56" t="s">
        <v>262</v>
      </c>
      <c r="AT123" s="56"/>
      <c r="AU123" s="56" t="s">
        <v>263</v>
      </c>
      <c r="AV123" s="82">
        <v>0</v>
      </c>
      <c r="AW123" s="79"/>
      <c r="AX123" s="82">
        <v>662</v>
      </c>
      <c r="AY123" s="82"/>
      <c r="AZ123" s="79">
        <v>331</v>
      </c>
      <c r="BA123" s="82"/>
      <c r="BB123" s="82">
        <v>0</v>
      </c>
      <c r="BC123" s="79"/>
      <c r="BD123" s="82">
        <v>744</v>
      </c>
      <c r="BE123" s="79"/>
      <c r="BF123" s="79">
        <v>372</v>
      </c>
      <c r="BG123" s="79"/>
      <c r="BH123" s="79"/>
      <c r="BI123" s="79"/>
      <c r="BJ123" s="79"/>
      <c r="BK123" s="79"/>
      <c r="BL123" s="79"/>
      <c r="BM123" s="315" t="s">
        <v>797</v>
      </c>
    </row>
    <row r="124" spans="1:65" x14ac:dyDescent="0.2">
      <c r="A124" s="257"/>
      <c r="B124" s="239"/>
      <c r="C124" s="257"/>
      <c r="D124" s="87"/>
      <c r="E124" s="257"/>
      <c r="F124" s="88" t="s">
        <v>259</v>
      </c>
      <c r="G124" s="257"/>
      <c r="H124" s="88" t="s">
        <v>53</v>
      </c>
      <c r="I124" s="257"/>
      <c r="J124" s="225">
        <v>2</v>
      </c>
      <c r="K124" s="87"/>
      <c r="L124" s="88"/>
      <c r="M124" s="87"/>
      <c r="N124" s="87"/>
      <c r="O124" s="257"/>
      <c r="P124" s="257"/>
      <c r="Q124" s="56"/>
      <c r="R124" s="87"/>
      <c r="S124" s="87"/>
      <c r="T124" s="87"/>
      <c r="U124" s="87"/>
      <c r="V124" s="89"/>
      <c r="W124" s="87"/>
      <c r="X124" s="79"/>
      <c r="Y124" s="87"/>
      <c r="Z124" s="82"/>
      <c r="AA124" s="87"/>
      <c r="AB124" s="82"/>
      <c r="AC124" s="257"/>
      <c r="AD124" s="82">
        <v>104</v>
      </c>
      <c r="AE124" s="79"/>
      <c r="AF124" s="79">
        <v>52</v>
      </c>
      <c r="AG124" s="79"/>
      <c r="AH124" s="82">
        <v>0</v>
      </c>
      <c r="AI124" s="79"/>
      <c r="AJ124" s="82">
        <v>164</v>
      </c>
      <c r="AK124" s="82"/>
      <c r="AL124" s="79">
        <v>82</v>
      </c>
      <c r="AM124" s="82"/>
      <c r="AN124" s="82">
        <v>0</v>
      </c>
      <c r="AO124" s="79"/>
      <c r="AP124" s="82">
        <v>210</v>
      </c>
      <c r="AQ124" s="79"/>
      <c r="AR124" s="79">
        <v>105</v>
      </c>
      <c r="AS124" s="56" t="s">
        <v>762</v>
      </c>
      <c r="AT124" s="56"/>
      <c r="AU124" s="56"/>
      <c r="AV124" s="82">
        <v>0</v>
      </c>
      <c r="AW124" s="79"/>
      <c r="AX124" s="82">
        <v>182</v>
      </c>
      <c r="AY124" s="82"/>
      <c r="AZ124" s="79">
        <v>91</v>
      </c>
      <c r="BA124" s="82"/>
      <c r="BB124" s="82">
        <v>0</v>
      </c>
      <c r="BC124" s="79"/>
      <c r="BD124" s="82">
        <v>122</v>
      </c>
      <c r="BE124" s="79"/>
      <c r="BF124" s="235">
        <v>61</v>
      </c>
      <c r="BG124" s="327"/>
      <c r="BH124" s="327"/>
      <c r="BI124" s="327"/>
      <c r="BJ124" s="327"/>
      <c r="BK124" s="327"/>
      <c r="BL124" s="327"/>
      <c r="BM124" s="155" t="s">
        <v>797</v>
      </c>
    </row>
    <row r="125" spans="1:65" ht="22.5" x14ac:dyDescent="0.2">
      <c r="A125" s="257"/>
      <c r="B125" s="257" t="s">
        <v>296</v>
      </c>
      <c r="C125" s="257"/>
      <c r="D125" s="87">
        <v>248</v>
      </c>
      <c r="E125" s="257"/>
      <c r="F125" s="88" t="s">
        <v>297</v>
      </c>
      <c r="G125" s="257"/>
      <c r="H125" s="88" t="s">
        <v>298</v>
      </c>
      <c r="I125" s="257"/>
      <c r="J125" s="225"/>
      <c r="K125" s="87"/>
      <c r="L125" s="88"/>
      <c r="M125" s="87"/>
      <c r="N125" s="87" t="s">
        <v>55</v>
      </c>
      <c r="O125" s="257"/>
      <c r="P125" s="257"/>
      <c r="Q125" s="56">
        <v>904</v>
      </c>
      <c r="R125" s="87"/>
      <c r="S125" s="87"/>
      <c r="T125" s="87">
        <v>0</v>
      </c>
      <c r="U125" s="87"/>
      <c r="V125" s="89">
        <v>38564</v>
      </c>
      <c r="W125" s="87"/>
      <c r="X125" s="79"/>
      <c r="Y125" s="87"/>
      <c r="Z125" s="82">
        <v>0</v>
      </c>
      <c r="AA125" s="87"/>
      <c r="AB125" s="82">
        <v>27396</v>
      </c>
      <c r="AC125" s="257"/>
      <c r="AD125" s="231">
        <v>20418</v>
      </c>
      <c r="AE125" s="228"/>
      <c r="AF125" s="228"/>
      <c r="AG125" s="228"/>
      <c r="AH125" s="231"/>
      <c r="AI125" s="228"/>
      <c r="AJ125" s="231">
        <v>21126</v>
      </c>
      <c r="AK125" s="231"/>
      <c r="AL125" s="79">
        <v>6000</v>
      </c>
      <c r="AM125" s="231"/>
      <c r="AN125" s="231"/>
      <c r="AO125" s="228"/>
      <c r="AP125" s="231">
        <v>21786</v>
      </c>
      <c r="AQ125" s="228"/>
      <c r="AR125" s="79">
        <v>6000</v>
      </c>
      <c r="AS125" s="56"/>
      <c r="AT125" s="56"/>
      <c r="AU125" s="56"/>
      <c r="AV125" s="231">
        <v>0</v>
      </c>
      <c r="AW125" s="228"/>
      <c r="AX125" s="231">
        <v>21075</v>
      </c>
      <c r="AY125" s="231"/>
      <c r="AZ125" s="79">
        <v>7025</v>
      </c>
      <c r="BA125" s="231"/>
      <c r="BB125" s="231">
        <v>0</v>
      </c>
      <c r="BC125" s="228"/>
      <c r="BD125" s="231">
        <v>15000</v>
      </c>
      <c r="BE125" s="228"/>
      <c r="BF125" s="79">
        <v>5000</v>
      </c>
      <c r="BG125" s="79"/>
      <c r="BH125" s="79"/>
      <c r="BI125" s="79"/>
      <c r="BJ125" s="79"/>
      <c r="BK125" s="79"/>
      <c r="BL125" s="79"/>
      <c r="BM125" s="315" t="s">
        <v>797</v>
      </c>
    </row>
    <row r="126" spans="1:65" ht="33.75" x14ac:dyDescent="0.2">
      <c r="A126" s="257"/>
      <c r="B126" s="257"/>
      <c r="C126" s="257"/>
      <c r="D126" s="87"/>
      <c r="E126" s="257"/>
      <c r="F126" s="88" t="s">
        <v>293</v>
      </c>
      <c r="G126" s="257"/>
      <c r="H126" s="88" t="s">
        <v>53</v>
      </c>
      <c r="I126" s="257"/>
      <c r="J126" s="225" t="s">
        <v>294</v>
      </c>
      <c r="K126" s="87"/>
      <c r="L126" s="88" t="s">
        <v>255</v>
      </c>
      <c r="M126" s="87"/>
      <c r="N126" s="87" t="s">
        <v>55</v>
      </c>
      <c r="O126" s="257"/>
      <c r="P126" s="257"/>
      <c r="Q126" s="56">
        <v>904</v>
      </c>
      <c r="R126" s="87"/>
      <c r="S126" s="87"/>
      <c r="T126" s="87">
        <v>0</v>
      </c>
      <c r="U126" s="87"/>
      <c r="V126" s="89">
        <v>152702.30000000002</v>
      </c>
      <c r="W126" s="87"/>
      <c r="X126" s="79"/>
      <c r="Y126" s="87"/>
      <c r="Z126" s="82">
        <v>0</v>
      </c>
      <c r="AA126" s="87"/>
      <c r="AB126" s="82">
        <v>176334</v>
      </c>
      <c r="AC126" s="257"/>
      <c r="AD126" s="231">
        <v>165971.67000000001</v>
      </c>
      <c r="AE126" s="228"/>
      <c r="AF126" s="228">
        <v>660</v>
      </c>
      <c r="AG126" s="228"/>
      <c r="AH126" s="231">
        <v>0</v>
      </c>
      <c r="AI126" s="228"/>
      <c r="AJ126" s="231">
        <v>273781.28999999998</v>
      </c>
      <c r="AK126" s="231"/>
      <c r="AL126" s="79">
        <v>754</v>
      </c>
      <c r="AM126" s="231"/>
      <c r="AN126" s="231">
        <v>0</v>
      </c>
      <c r="AO126" s="228"/>
      <c r="AP126" s="231">
        <v>285570.18</v>
      </c>
      <c r="AQ126" s="228"/>
      <c r="AR126" s="79">
        <v>795</v>
      </c>
      <c r="AS126" s="56" t="s">
        <v>295</v>
      </c>
      <c r="AT126" s="56"/>
      <c r="AU126" s="56"/>
      <c r="AV126" s="231"/>
      <c r="AW126" s="228"/>
      <c r="AX126" s="231">
        <v>291537.27</v>
      </c>
      <c r="AY126" s="231"/>
      <c r="AZ126" s="79">
        <v>1030</v>
      </c>
      <c r="BA126" s="231"/>
      <c r="BB126" s="231"/>
      <c r="BC126" s="228"/>
      <c r="BD126" s="231">
        <v>181595.03</v>
      </c>
      <c r="BE126" s="228"/>
      <c r="BF126" s="79">
        <v>826</v>
      </c>
      <c r="BG126" s="327"/>
      <c r="BH126" s="327"/>
      <c r="BI126" s="327"/>
      <c r="BJ126" s="327"/>
      <c r="BK126" s="327"/>
      <c r="BL126" s="327"/>
      <c r="BM126" s="155" t="s">
        <v>797</v>
      </c>
    </row>
    <row r="127" spans="1:65" ht="22.5" x14ac:dyDescent="0.2">
      <c r="A127" s="257"/>
      <c r="B127" s="257"/>
      <c r="C127" s="257"/>
      <c r="D127" s="87">
        <v>248</v>
      </c>
      <c r="E127" s="257"/>
      <c r="F127" s="88" t="s">
        <v>250</v>
      </c>
      <c r="G127" s="257"/>
      <c r="H127" s="88" t="s">
        <v>53</v>
      </c>
      <c r="I127" s="257"/>
      <c r="J127" s="225" t="s">
        <v>251</v>
      </c>
      <c r="K127" s="87"/>
      <c r="L127" s="88" t="s">
        <v>273</v>
      </c>
      <c r="M127" s="87"/>
      <c r="N127" s="87" t="s">
        <v>55</v>
      </c>
      <c r="O127" s="257"/>
      <c r="P127" s="257"/>
      <c r="Q127" s="56">
        <v>904</v>
      </c>
      <c r="R127" s="87"/>
      <c r="S127" s="87"/>
      <c r="T127" s="87">
        <v>0</v>
      </c>
      <c r="U127" s="87"/>
      <c r="V127" s="89">
        <v>46407</v>
      </c>
      <c r="W127" s="87"/>
      <c r="X127" s="79"/>
      <c r="Y127" s="87"/>
      <c r="Z127" s="82">
        <v>0</v>
      </c>
      <c r="AA127" s="87"/>
      <c r="AB127" s="82">
        <v>57071</v>
      </c>
      <c r="AC127" s="257"/>
      <c r="AD127" s="231">
        <v>54054.21</v>
      </c>
      <c r="AE127" s="228"/>
      <c r="AF127" s="228"/>
      <c r="AG127" s="228"/>
      <c r="AH127" s="231">
        <v>0</v>
      </c>
      <c r="AI127" s="228"/>
      <c r="AJ127" s="231">
        <v>51985.919999999998</v>
      </c>
      <c r="AK127" s="231"/>
      <c r="AL127" s="79">
        <v>2240</v>
      </c>
      <c r="AM127" s="231"/>
      <c r="AN127" s="231">
        <v>0</v>
      </c>
      <c r="AO127" s="228"/>
      <c r="AP127" s="231">
        <v>49335.13</v>
      </c>
      <c r="AQ127" s="228"/>
      <c r="AR127" s="79">
        <v>2045</v>
      </c>
      <c r="AS127" s="56"/>
      <c r="AT127" s="56"/>
      <c r="AU127" s="56"/>
      <c r="AV127" s="231">
        <v>0</v>
      </c>
      <c r="AW127" s="228"/>
      <c r="AX127" s="231">
        <v>57630</v>
      </c>
      <c r="AY127" s="231"/>
      <c r="AZ127" s="79">
        <v>1837</v>
      </c>
      <c r="BA127" s="231"/>
      <c r="BB127" s="231">
        <v>0</v>
      </c>
      <c r="BC127" s="228"/>
      <c r="BD127" s="231">
        <v>63882</v>
      </c>
      <c r="BE127" s="228"/>
      <c r="BF127" s="79">
        <v>2331</v>
      </c>
      <c r="BG127" s="79"/>
      <c r="BH127" s="79"/>
      <c r="BI127" s="79"/>
      <c r="BJ127" s="79"/>
      <c r="BK127" s="79"/>
      <c r="BL127" s="79"/>
      <c r="BM127" s="315" t="s">
        <v>782</v>
      </c>
    </row>
    <row r="128" spans="1:65" ht="22.5" x14ac:dyDescent="0.2">
      <c r="A128" s="257"/>
      <c r="B128" s="257"/>
      <c r="C128" s="257"/>
      <c r="D128" s="87">
        <v>248</v>
      </c>
      <c r="E128" s="257"/>
      <c r="F128" s="88" t="s">
        <v>266</v>
      </c>
      <c r="G128" s="257"/>
      <c r="H128" s="88" t="s">
        <v>53</v>
      </c>
      <c r="I128" s="257"/>
      <c r="J128" s="225" t="s">
        <v>675</v>
      </c>
      <c r="K128" s="87"/>
      <c r="L128" s="88" t="s">
        <v>269</v>
      </c>
      <c r="M128" s="87"/>
      <c r="N128" s="87" t="s">
        <v>55</v>
      </c>
      <c r="O128" s="257"/>
      <c r="P128" s="257"/>
      <c r="Q128" s="56">
        <v>904</v>
      </c>
      <c r="R128" s="87"/>
      <c r="S128" s="87"/>
      <c r="T128" s="87"/>
      <c r="U128" s="87"/>
      <c r="V128" s="89">
        <v>813</v>
      </c>
      <c r="W128" s="87"/>
      <c r="X128" s="79"/>
      <c r="Y128" s="87"/>
      <c r="Z128" s="82">
        <v>0</v>
      </c>
      <c r="AA128" s="87"/>
      <c r="AB128" s="82">
        <v>645</v>
      </c>
      <c r="AC128" s="257"/>
      <c r="AD128" s="231">
        <v>0</v>
      </c>
      <c r="AE128" s="228"/>
      <c r="AF128" s="228">
        <v>0</v>
      </c>
      <c r="AG128" s="228"/>
      <c r="AH128" s="231">
        <v>0</v>
      </c>
      <c r="AI128" s="228"/>
      <c r="AJ128" s="231">
        <v>0</v>
      </c>
      <c r="AK128" s="231"/>
      <c r="AL128" s="79"/>
      <c r="AM128" s="231"/>
      <c r="AN128" s="231">
        <v>0</v>
      </c>
      <c r="AO128" s="228"/>
      <c r="AP128" s="231">
        <v>0</v>
      </c>
      <c r="AQ128" s="228">
        <v>0</v>
      </c>
      <c r="AR128" s="79"/>
      <c r="AS128" s="56" t="s">
        <v>765</v>
      </c>
      <c r="AT128" s="56"/>
      <c r="AU128" s="56"/>
      <c r="AV128" s="231">
        <v>0</v>
      </c>
      <c r="AW128" s="228"/>
      <c r="AX128" s="231">
        <v>0</v>
      </c>
      <c r="AY128" s="231"/>
      <c r="AZ128" s="79">
        <v>0</v>
      </c>
      <c r="BA128" s="231"/>
      <c r="BB128" s="231">
        <v>0</v>
      </c>
      <c r="BC128" s="228"/>
      <c r="BD128" s="231">
        <v>391</v>
      </c>
      <c r="BE128" s="228"/>
      <c r="BF128" s="79">
        <v>220</v>
      </c>
      <c r="BG128" s="327"/>
      <c r="BH128" s="327"/>
      <c r="BI128" s="327"/>
      <c r="BJ128" s="327"/>
      <c r="BK128" s="327"/>
      <c r="BL128" s="327"/>
      <c r="BM128" s="155" t="s">
        <v>797</v>
      </c>
    </row>
    <row r="129" spans="1:65" ht="22.5" x14ac:dyDescent="0.2">
      <c r="A129" s="257"/>
      <c r="B129" s="257"/>
      <c r="C129" s="257"/>
      <c r="D129" s="87">
        <v>248</v>
      </c>
      <c r="E129" s="257"/>
      <c r="F129" s="88" t="s">
        <v>264</v>
      </c>
      <c r="G129" s="257"/>
      <c r="H129" s="88" t="s">
        <v>53</v>
      </c>
      <c r="I129" s="257"/>
      <c r="J129" s="225">
        <v>3</v>
      </c>
      <c r="K129" s="87"/>
      <c r="L129" s="88" t="s">
        <v>265</v>
      </c>
      <c r="M129" s="87"/>
      <c r="N129" s="87" t="s">
        <v>55</v>
      </c>
      <c r="O129" s="257"/>
      <c r="P129" s="257"/>
      <c r="Q129" s="56">
        <v>904</v>
      </c>
      <c r="R129" s="87"/>
      <c r="S129" s="87"/>
      <c r="T129" s="87"/>
      <c r="U129" s="87"/>
      <c r="V129" s="89">
        <v>4662</v>
      </c>
      <c r="W129" s="87"/>
      <c r="X129" s="79"/>
      <c r="Y129" s="87"/>
      <c r="Z129" s="82">
        <v>0</v>
      </c>
      <c r="AA129" s="87"/>
      <c r="AB129" s="82">
        <v>5740</v>
      </c>
      <c r="AC129" s="257"/>
      <c r="AD129" s="231">
        <v>5223.8</v>
      </c>
      <c r="AE129" s="228"/>
      <c r="AF129" s="228">
        <v>1741</v>
      </c>
      <c r="AG129" s="228"/>
      <c r="AH129" s="231">
        <v>0</v>
      </c>
      <c r="AI129" s="228"/>
      <c r="AJ129" s="231">
        <v>5429.49</v>
      </c>
      <c r="AK129" s="231"/>
      <c r="AL129" s="240">
        <v>1809</v>
      </c>
      <c r="AM129" s="231"/>
      <c r="AN129" s="241">
        <v>0</v>
      </c>
      <c r="AO129" s="228"/>
      <c r="AP129" s="231">
        <v>5103</v>
      </c>
      <c r="AQ129" s="228">
        <v>1701</v>
      </c>
      <c r="AR129" s="79">
        <v>1701</v>
      </c>
      <c r="AS129" s="56" t="s">
        <v>765</v>
      </c>
      <c r="AT129" s="56"/>
      <c r="AU129" s="56"/>
      <c r="AV129" s="231">
        <v>0</v>
      </c>
      <c r="AW129" s="228"/>
      <c r="AX129" s="231">
        <v>5373</v>
      </c>
      <c r="AY129" s="231"/>
      <c r="AZ129" s="240">
        <v>1791</v>
      </c>
      <c r="BA129" s="231"/>
      <c r="BB129" s="260">
        <v>0</v>
      </c>
      <c r="BC129" s="228"/>
      <c r="BD129" s="231">
        <v>5760</v>
      </c>
      <c r="BE129" s="228"/>
      <c r="BF129" s="79">
        <v>1920</v>
      </c>
      <c r="BG129" s="79"/>
      <c r="BH129" s="79"/>
      <c r="BI129" s="79"/>
      <c r="BJ129" s="79"/>
      <c r="BK129" s="79"/>
      <c r="BL129" s="79"/>
      <c r="BM129" s="315" t="s">
        <v>797</v>
      </c>
    </row>
    <row r="130" spans="1:65" ht="22.5" x14ac:dyDescent="0.2">
      <c r="A130" s="257"/>
      <c r="B130" s="257"/>
      <c r="C130" s="257"/>
      <c r="D130" s="87">
        <v>248</v>
      </c>
      <c r="E130" s="257"/>
      <c r="F130" s="88" t="s">
        <v>259</v>
      </c>
      <c r="G130" s="257"/>
      <c r="H130" s="88" t="s">
        <v>53</v>
      </c>
      <c r="I130" s="257"/>
      <c r="J130" s="225">
        <v>2</v>
      </c>
      <c r="K130" s="87"/>
      <c r="L130" s="88" t="s">
        <v>261</v>
      </c>
      <c r="M130" s="87"/>
      <c r="N130" s="87" t="s">
        <v>55</v>
      </c>
      <c r="O130" s="257"/>
      <c r="P130" s="257"/>
      <c r="Q130" s="56">
        <v>904</v>
      </c>
      <c r="R130" s="87">
        <v>84</v>
      </c>
      <c r="S130" s="87"/>
      <c r="T130" s="87"/>
      <c r="U130" s="87"/>
      <c r="V130" s="89">
        <v>168</v>
      </c>
      <c r="W130" s="87"/>
      <c r="X130" s="79"/>
      <c r="Y130" s="87"/>
      <c r="Z130" s="82">
        <v>0</v>
      </c>
      <c r="AA130" s="87"/>
      <c r="AB130" s="82">
        <v>0</v>
      </c>
      <c r="AC130" s="257"/>
      <c r="AD130" s="231">
        <v>206</v>
      </c>
      <c r="AE130" s="228"/>
      <c r="AF130" s="228">
        <v>103</v>
      </c>
      <c r="AG130" s="228"/>
      <c r="AH130" s="231">
        <v>0</v>
      </c>
      <c r="AI130" s="228"/>
      <c r="AJ130" s="231">
        <v>331</v>
      </c>
      <c r="AK130" s="231"/>
      <c r="AL130" s="240">
        <v>165</v>
      </c>
      <c r="AM130" s="231"/>
      <c r="AN130" s="241">
        <v>0</v>
      </c>
      <c r="AO130" s="228"/>
      <c r="AP130" s="231">
        <v>178</v>
      </c>
      <c r="AQ130" s="228">
        <v>89</v>
      </c>
      <c r="AR130" s="79">
        <v>89</v>
      </c>
      <c r="AS130" s="56" t="s">
        <v>262</v>
      </c>
      <c r="AT130" s="56"/>
      <c r="AU130" s="56" t="s">
        <v>670</v>
      </c>
      <c r="AV130" s="231">
        <v>0</v>
      </c>
      <c r="AW130" s="228"/>
      <c r="AX130" s="231">
        <v>380</v>
      </c>
      <c r="AY130" s="231"/>
      <c r="AZ130" s="240">
        <v>190</v>
      </c>
      <c r="BA130" s="231"/>
      <c r="BB130" s="260">
        <v>0</v>
      </c>
      <c r="BC130" s="228"/>
      <c r="BD130" s="231">
        <v>384</v>
      </c>
      <c r="BE130" s="228"/>
      <c r="BF130" s="79">
        <v>192</v>
      </c>
      <c r="BG130" s="327"/>
      <c r="BH130" s="327"/>
      <c r="BI130" s="327"/>
      <c r="BJ130" s="327"/>
      <c r="BK130" s="327"/>
      <c r="BL130" s="327"/>
      <c r="BM130" s="155" t="s">
        <v>797</v>
      </c>
    </row>
    <row r="131" spans="1:65" ht="18" customHeight="1" x14ac:dyDescent="0.2">
      <c r="A131" s="257"/>
      <c r="B131" s="257"/>
      <c r="C131" s="257"/>
      <c r="D131" s="87">
        <v>248</v>
      </c>
      <c r="E131" s="257"/>
      <c r="F131" s="88" t="s">
        <v>270</v>
      </c>
      <c r="G131" s="257"/>
      <c r="H131" s="88" t="s">
        <v>53</v>
      </c>
      <c r="I131" s="257"/>
      <c r="J131" s="225">
        <v>5</v>
      </c>
      <c r="K131" s="87"/>
      <c r="L131" s="88" t="s">
        <v>271</v>
      </c>
      <c r="M131" s="87"/>
      <c r="N131" s="87" t="s">
        <v>55</v>
      </c>
      <c r="O131" s="257"/>
      <c r="P131" s="257"/>
      <c r="Q131" s="56">
        <v>904</v>
      </c>
      <c r="R131" s="87">
        <v>23</v>
      </c>
      <c r="S131" s="87"/>
      <c r="T131" s="87">
        <v>0</v>
      </c>
      <c r="U131" s="87"/>
      <c r="V131" s="89">
        <v>114</v>
      </c>
      <c r="W131" s="87"/>
      <c r="X131" s="79">
        <v>24</v>
      </c>
      <c r="Y131" s="87"/>
      <c r="Z131" s="82">
        <v>0</v>
      </c>
      <c r="AA131" s="87"/>
      <c r="AB131" s="82">
        <v>122</v>
      </c>
      <c r="AC131" s="257"/>
      <c r="AD131" s="82">
        <v>182</v>
      </c>
      <c r="AE131" s="79"/>
      <c r="AF131" s="79">
        <v>36</v>
      </c>
      <c r="AG131" s="79"/>
      <c r="AH131" s="82">
        <v>0</v>
      </c>
      <c r="AI131" s="79"/>
      <c r="AJ131" s="82">
        <v>101</v>
      </c>
      <c r="AK131" s="82"/>
      <c r="AL131" s="240">
        <v>20</v>
      </c>
      <c r="AM131" s="82"/>
      <c r="AN131" s="242">
        <v>0</v>
      </c>
      <c r="AO131" s="79"/>
      <c r="AP131" s="82">
        <v>297</v>
      </c>
      <c r="AQ131" s="79">
        <v>59</v>
      </c>
      <c r="AR131" s="79">
        <v>59</v>
      </c>
      <c r="AS131" s="56" t="s">
        <v>765</v>
      </c>
      <c r="AT131" s="56"/>
      <c r="AU131" s="56"/>
      <c r="AV131" s="82">
        <v>0</v>
      </c>
      <c r="AW131" s="79"/>
      <c r="AX131" s="82">
        <v>650</v>
      </c>
      <c r="AY131" s="82"/>
      <c r="AZ131" s="240">
        <v>130</v>
      </c>
      <c r="BA131" s="82"/>
      <c r="BB131" s="261">
        <v>0</v>
      </c>
      <c r="BC131" s="79"/>
      <c r="BD131" s="82">
        <v>770</v>
      </c>
      <c r="BE131" s="79"/>
      <c r="BF131" s="79">
        <v>154</v>
      </c>
      <c r="BG131" s="79"/>
      <c r="BH131" s="79"/>
      <c r="BI131" s="79"/>
      <c r="BJ131" s="79"/>
      <c r="BK131" s="79"/>
      <c r="BL131" s="79"/>
      <c r="BM131" s="315" t="s">
        <v>797</v>
      </c>
    </row>
    <row r="132" spans="1:65" x14ac:dyDescent="0.2">
      <c r="A132" s="257"/>
      <c r="B132" s="257" t="s">
        <v>299</v>
      </c>
      <c r="C132" s="257"/>
      <c r="D132" s="87">
        <v>249</v>
      </c>
      <c r="E132" s="257"/>
      <c r="F132" s="88" t="s">
        <v>259</v>
      </c>
      <c r="G132" s="257"/>
      <c r="H132" s="88" t="s">
        <v>260</v>
      </c>
      <c r="I132" s="257"/>
      <c r="J132" s="225">
        <v>2</v>
      </c>
      <c r="K132" s="87"/>
      <c r="L132" s="88" t="s">
        <v>261</v>
      </c>
      <c r="M132" s="87"/>
      <c r="N132" s="87" t="s">
        <v>55</v>
      </c>
      <c r="O132" s="257"/>
      <c r="P132" s="257"/>
      <c r="Q132" s="56">
        <v>904</v>
      </c>
      <c r="R132" s="87">
        <v>184</v>
      </c>
      <c r="S132" s="87"/>
      <c r="T132" s="87"/>
      <c r="U132" s="87"/>
      <c r="V132" s="89">
        <v>368</v>
      </c>
      <c r="W132" s="87"/>
      <c r="X132" s="79" t="s">
        <v>50</v>
      </c>
      <c r="Y132" s="87"/>
      <c r="Z132" s="82">
        <v>0</v>
      </c>
      <c r="AA132" s="87"/>
      <c r="AB132" s="82">
        <v>678</v>
      </c>
      <c r="AC132" s="257"/>
      <c r="AD132" s="82">
        <v>562</v>
      </c>
      <c r="AE132" s="79" t="s">
        <v>705</v>
      </c>
      <c r="AF132" s="79">
        <v>281</v>
      </c>
      <c r="AG132" s="79"/>
      <c r="AH132" s="231">
        <v>0</v>
      </c>
      <c r="AI132" s="79"/>
      <c r="AJ132" s="82">
        <v>604</v>
      </c>
      <c r="AK132" s="82"/>
      <c r="AL132" s="79">
        <v>302</v>
      </c>
      <c r="AM132" s="82"/>
      <c r="AN132" s="231">
        <v>0</v>
      </c>
      <c r="AO132" s="79"/>
      <c r="AP132" s="82">
        <v>485</v>
      </c>
      <c r="AQ132" s="79"/>
      <c r="AR132" s="79">
        <v>243</v>
      </c>
      <c r="AS132" s="56" t="s">
        <v>262</v>
      </c>
      <c r="AT132" s="56"/>
      <c r="AU132" s="56" t="s">
        <v>263</v>
      </c>
      <c r="AV132" s="231">
        <v>0</v>
      </c>
      <c r="AW132" s="79"/>
      <c r="AX132" s="82">
        <v>1480</v>
      </c>
      <c r="AY132" s="82"/>
      <c r="AZ132" s="79">
        <v>740</v>
      </c>
      <c r="BA132" s="82"/>
      <c r="BB132" s="231">
        <v>0</v>
      </c>
      <c r="BC132" s="79"/>
      <c r="BD132" s="82">
        <v>1488</v>
      </c>
      <c r="BE132" s="79"/>
      <c r="BF132" s="79">
        <v>744</v>
      </c>
      <c r="BG132" s="327"/>
      <c r="BH132" s="327"/>
      <c r="BI132" s="327"/>
      <c r="BJ132" s="327"/>
      <c r="BK132" s="327"/>
      <c r="BL132" s="327"/>
      <c r="BM132" s="155" t="s">
        <v>797</v>
      </c>
    </row>
    <row r="133" spans="1:65" x14ac:dyDescent="0.2">
      <c r="A133" s="257"/>
      <c r="B133" s="257"/>
      <c r="C133" s="257"/>
      <c r="D133" s="87">
        <v>249</v>
      </c>
      <c r="E133" s="257"/>
      <c r="F133" s="88" t="s">
        <v>259</v>
      </c>
      <c r="G133" s="257"/>
      <c r="H133" s="88" t="s">
        <v>53</v>
      </c>
      <c r="I133" s="257"/>
      <c r="J133" s="225">
        <v>2</v>
      </c>
      <c r="K133" s="87"/>
      <c r="L133" s="88" t="s">
        <v>261</v>
      </c>
      <c r="M133" s="87"/>
      <c r="N133" s="87"/>
      <c r="O133" s="257"/>
      <c r="P133" s="257"/>
      <c r="Q133" s="56"/>
      <c r="R133" s="87"/>
      <c r="S133" s="87"/>
      <c r="T133" s="87"/>
      <c r="U133" s="87"/>
      <c r="V133" s="89"/>
      <c r="W133" s="87"/>
      <c r="X133" s="79">
        <v>15</v>
      </c>
      <c r="Y133" s="87"/>
      <c r="Z133" s="82">
        <v>0</v>
      </c>
      <c r="AA133" s="87"/>
      <c r="AB133" s="82">
        <v>30</v>
      </c>
      <c r="AC133" s="257"/>
      <c r="AD133" s="82">
        <v>24</v>
      </c>
      <c r="AE133" s="79"/>
      <c r="AF133" s="79">
        <v>12</v>
      </c>
      <c r="AG133" s="79"/>
      <c r="AH133" s="231">
        <v>0</v>
      </c>
      <c r="AI133" s="79"/>
      <c r="AJ133" s="82">
        <v>36</v>
      </c>
      <c r="AK133" s="82"/>
      <c r="AL133" s="79">
        <v>18</v>
      </c>
      <c r="AM133" s="82"/>
      <c r="AN133" s="231">
        <v>0</v>
      </c>
      <c r="AO133" s="79"/>
      <c r="AP133" s="82">
        <v>48</v>
      </c>
      <c r="AQ133" s="79"/>
      <c r="AR133" s="79">
        <v>24</v>
      </c>
      <c r="AS133" s="56"/>
      <c r="AT133" s="56"/>
      <c r="AU133" s="56"/>
      <c r="AV133" s="231">
        <v>0</v>
      </c>
      <c r="AW133" s="79"/>
      <c r="AX133" s="82">
        <v>42</v>
      </c>
      <c r="AY133" s="82"/>
      <c r="AZ133" s="79">
        <v>21</v>
      </c>
      <c r="BA133" s="82"/>
      <c r="BB133" s="231">
        <v>0</v>
      </c>
      <c r="BC133" s="79"/>
      <c r="BD133" s="82">
        <v>36</v>
      </c>
      <c r="BE133" s="79"/>
      <c r="BF133" s="79">
        <v>18</v>
      </c>
      <c r="BG133" s="79"/>
      <c r="BH133" s="79"/>
      <c r="BI133" s="79"/>
      <c r="BJ133" s="79"/>
      <c r="BK133" s="79"/>
      <c r="BL133" s="79"/>
      <c r="BM133" s="315" t="s">
        <v>797</v>
      </c>
    </row>
    <row r="134" spans="1:65" ht="22.5" x14ac:dyDescent="0.2">
      <c r="A134" s="257"/>
      <c r="B134" s="257"/>
      <c r="C134" s="257"/>
      <c r="D134" s="87">
        <v>249</v>
      </c>
      <c r="E134" s="257"/>
      <c r="F134" s="88" t="s">
        <v>264</v>
      </c>
      <c r="G134" s="257"/>
      <c r="H134" s="88" t="s">
        <v>53</v>
      </c>
      <c r="I134" s="257"/>
      <c r="J134" s="225">
        <v>3</v>
      </c>
      <c r="K134" s="87"/>
      <c r="L134" s="88" t="s">
        <v>265</v>
      </c>
      <c r="M134" s="87"/>
      <c r="N134" s="87" t="s">
        <v>55</v>
      </c>
      <c r="O134" s="257"/>
      <c r="P134" s="257"/>
      <c r="Q134" s="56">
        <v>904</v>
      </c>
      <c r="R134" s="90">
        <v>1885</v>
      </c>
      <c r="S134" s="87"/>
      <c r="T134" s="87"/>
      <c r="U134" s="87"/>
      <c r="V134" s="89">
        <v>5655</v>
      </c>
      <c r="W134" s="87"/>
      <c r="X134" s="79">
        <v>1901</v>
      </c>
      <c r="Y134" s="87"/>
      <c r="Z134" s="82">
        <v>0</v>
      </c>
      <c r="AA134" s="87"/>
      <c r="AB134" s="82">
        <v>5703</v>
      </c>
      <c r="AC134" s="257"/>
      <c r="AD134" s="82">
        <v>7449</v>
      </c>
      <c r="AE134" s="79"/>
      <c r="AF134" s="79">
        <v>2483</v>
      </c>
      <c r="AG134" s="79"/>
      <c r="AH134" s="231">
        <v>0</v>
      </c>
      <c r="AI134" s="79"/>
      <c r="AJ134" s="82">
        <v>8067</v>
      </c>
      <c r="AK134" s="82"/>
      <c r="AL134" s="79">
        <v>2689</v>
      </c>
      <c r="AM134" s="82"/>
      <c r="AN134" s="231">
        <v>0</v>
      </c>
      <c r="AO134" s="79"/>
      <c r="AP134" s="82">
        <v>9591</v>
      </c>
      <c r="AQ134" s="79"/>
      <c r="AR134" s="79">
        <v>3197</v>
      </c>
      <c r="AS134" s="56"/>
      <c r="AT134" s="56"/>
      <c r="AU134" s="56"/>
      <c r="AV134" s="231">
        <v>0</v>
      </c>
      <c r="AW134" s="79"/>
      <c r="AX134" s="82">
        <v>13650</v>
      </c>
      <c r="AY134" s="82"/>
      <c r="AZ134" s="79">
        <v>4550</v>
      </c>
      <c r="BA134" s="82"/>
      <c r="BB134" s="231">
        <v>0</v>
      </c>
      <c r="BC134" s="79"/>
      <c r="BD134" s="82">
        <v>11145</v>
      </c>
      <c r="BE134" s="79"/>
      <c r="BF134" s="79">
        <v>3715</v>
      </c>
      <c r="BG134" s="327"/>
      <c r="BH134" s="327"/>
      <c r="BI134" s="327"/>
      <c r="BJ134" s="327"/>
      <c r="BK134" s="327"/>
      <c r="BL134" s="327"/>
      <c r="BM134" s="155" t="s">
        <v>797</v>
      </c>
    </row>
    <row r="135" spans="1:65" ht="22.5" x14ac:dyDescent="0.2">
      <c r="A135" s="257"/>
      <c r="B135" s="257"/>
      <c r="C135" s="257"/>
      <c r="D135" s="87">
        <v>249</v>
      </c>
      <c r="E135" s="257"/>
      <c r="F135" s="88" t="s">
        <v>266</v>
      </c>
      <c r="G135" s="257"/>
      <c r="H135" s="88" t="s">
        <v>267</v>
      </c>
      <c r="I135" s="257"/>
      <c r="J135" s="225" t="s">
        <v>268</v>
      </c>
      <c r="K135" s="87"/>
      <c r="L135" s="88" t="s">
        <v>269</v>
      </c>
      <c r="M135" s="87"/>
      <c r="N135" s="87" t="s">
        <v>55</v>
      </c>
      <c r="O135" s="257"/>
      <c r="P135" s="257"/>
      <c r="Q135" s="56">
        <v>904</v>
      </c>
      <c r="R135" s="87"/>
      <c r="S135" s="87"/>
      <c r="T135" s="87">
        <v>0</v>
      </c>
      <c r="U135" s="87"/>
      <c r="V135" s="89">
        <v>1497</v>
      </c>
      <c r="W135" s="87"/>
      <c r="X135" s="79">
        <v>7035</v>
      </c>
      <c r="Y135" s="87"/>
      <c r="Z135" s="82">
        <v>0</v>
      </c>
      <c r="AA135" s="87"/>
      <c r="AB135" s="82">
        <v>1055</v>
      </c>
      <c r="AC135" s="257"/>
      <c r="AD135" s="82">
        <v>1849</v>
      </c>
      <c r="AE135" s="79"/>
      <c r="AF135" s="79"/>
      <c r="AG135" s="79"/>
      <c r="AH135" s="231">
        <v>0</v>
      </c>
      <c r="AI135" s="79"/>
      <c r="AJ135" s="82">
        <v>2507</v>
      </c>
      <c r="AK135" s="82"/>
      <c r="AL135" s="79">
        <v>16713</v>
      </c>
      <c r="AM135" s="82"/>
      <c r="AN135" s="231">
        <v>0</v>
      </c>
      <c r="AO135" s="79"/>
      <c r="AP135" s="82">
        <v>3107</v>
      </c>
      <c r="AQ135" s="79"/>
      <c r="AR135" s="79">
        <v>20713</v>
      </c>
      <c r="AS135" s="56"/>
      <c r="AT135" s="56"/>
      <c r="AU135" s="56"/>
      <c r="AV135" s="231">
        <v>0</v>
      </c>
      <c r="AW135" s="79"/>
      <c r="AX135" s="82">
        <v>1265</v>
      </c>
      <c r="AY135" s="82"/>
      <c r="AZ135" s="79">
        <v>8433</v>
      </c>
      <c r="BA135" s="82"/>
      <c r="BB135" s="231">
        <v>0</v>
      </c>
      <c r="BC135" s="79"/>
      <c r="BD135" s="82">
        <v>1435</v>
      </c>
      <c r="BE135" s="79"/>
      <c r="BF135" s="79">
        <v>9584</v>
      </c>
      <c r="BG135" s="79"/>
      <c r="BH135" s="79"/>
      <c r="BI135" s="79"/>
      <c r="BJ135" s="79"/>
      <c r="BK135" s="79"/>
      <c r="BL135" s="79"/>
      <c r="BM135" s="315" t="s">
        <v>797</v>
      </c>
    </row>
    <row r="136" spans="1:65" ht="33.75" x14ac:dyDescent="0.2">
      <c r="A136" s="257"/>
      <c r="B136" s="257"/>
      <c r="C136" s="257"/>
      <c r="D136" s="87">
        <v>249</v>
      </c>
      <c r="E136" s="257"/>
      <c r="F136" s="88" t="s">
        <v>250</v>
      </c>
      <c r="G136" s="257"/>
      <c r="H136" s="88" t="s">
        <v>53</v>
      </c>
      <c r="I136" s="257"/>
      <c r="J136" s="225" t="s">
        <v>251</v>
      </c>
      <c r="K136" s="87"/>
      <c r="L136" s="88" t="s">
        <v>273</v>
      </c>
      <c r="M136" s="87"/>
      <c r="N136" s="87" t="s">
        <v>55</v>
      </c>
      <c r="O136" s="257"/>
      <c r="P136" s="257"/>
      <c r="Q136" s="56">
        <v>904</v>
      </c>
      <c r="R136" s="87"/>
      <c r="S136" s="87"/>
      <c r="T136" s="87">
        <v>0</v>
      </c>
      <c r="U136" s="87"/>
      <c r="V136" s="89">
        <v>29965</v>
      </c>
      <c r="W136" s="87"/>
      <c r="X136" s="79"/>
      <c r="Y136" s="87"/>
      <c r="Z136" s="82">
        <v>0</v>
      </c>
      <c r="AA136" s="87"/>
      <c r="AB136" s="82">
        <v>34570</v>
      </c>
      <c r="AC136" s="257"/>
      <c r="AD136" s="82">
        <v>31647</v>
      </c>
      <c r="AE136" s="79"/>
      <c r="AF136" s="79"/>
      <c r="AG136" s="79"/>
      <c r="AH136" s="231">
        <v>0</v>
      </c>
      <c r="AI136" s="79"/>
      <c r="AJ136" s="82">
        <v>32379</v>
      </c>
      <c r="AK136" s="82"/>
      <c r="AL136" s="79">
        <v>1053</v>
      </c>
      <c r="AM136" s="82"/>
      <c r="AN136" s="231">
        <v>0</v>
      </c>
      <c r="AO136" s="79"/>
      <c r="AP136" s="82">
        <v>36474</v>
      </c>
      <c r="AQ136" s="79"/>
      <c r="AR136" s="79">
        <v>1292</v>
      </c>
      <c r="AS136" s="56" t="s">
        <v>671</v>
      </c>
      <c r="AT136" s="56"/>
      <c r="AU136" s="56"/>
      <c r="AV136" s="231">
        <v>0</v>
      </c>
      <c r="AW136" s="79"/>
      <c r="AX136" s="82">
        <v>37820</v>
      </c>
      <c r="AY136" s="82"/>
      <c r="AZ136" s="79">
        <v>1453</v>
      </c>
      <c r="BA136" s="82"/>
      <c r="BB136" s="231">
        <v>0</v>
      </c>
      <c r="BC136" s="79"/>
      <c r="BD136" s="82">
        <v>43295</v>
      </c>
      <c r="BE136" s="79"/>
      <c r="BF136" s="79">
        <v>1954</v>
      </c>
      <c r="BG136" s="327"/>
      <c r="BH136" s="327"/>
      <c r="BI136" s="327"/>
      <c r="BJ136" s="327"/>
      <c r="BK136" s="327"/>
      <c r="BL136" s="327"/>
      <c r="BM136" s="155" t="s">
        <v>782</v>
      </c>
    </row>
    <row r="137" spans="1:65" ht="22.5" x14ac:dyDescent="0.2">
      <c r="A137" s="257"/>
      <c r="B137" s="257"/>
      <c r="C137" s="257"/>
      <c r="D137" s="87">
        <v>249</v>
      </c>
      <c r="E137" s="257"/>
      <c r="F137" s="88" t="s">
        <v>270</v>
      </c>
      <c r="G137" s="257"/>
      <c r="H137" s="88" t="s">
        <v>53</v>
      </c>
      <c r="I137" s="257"/>
      <c r="J137" s="225">
        <v>5</v>
      </c>
      <c r="K137" s="87"/>
      <c r="L137" s="88" t="s">
        <v>271</v>
      </c>
      <c r="M137" s="87"/>
      <c r="N137" s="87" t="s">
        <v>55</v>
      </c>
      <c r="O137" s="257"/>
      <c r="P137" s="257"/>
      <c r="Q137" s="56">
        <v>904</v>
      </c>
      <c r="R137" s="90">
        <v>1054</v>
      </c>
      <c r="S137" s="87"/>
      <c r="T137" s="87">
        <v>0</v>
      </c>
      <c r="U137" s="87"/>
      <c r="V137" s="89">
        <v>5270</v>
      </c>
      <c r="W137" s="87"/>
      <c r="X137" s="79">
        <v>1136</v>
      </c>
      <c r="Y137" s="87"/>
      <c r="Z137" s="82">
        <v>0</v>
      </c>
      <c r="AA137" s="87"/>
      <c r="AB137" s="82">
        <v>5680</v>
      </c>
      <c r="AC137" s="257"/>
      <c r="AD137" s="82">
        <v>3710</v>
      </c>
      <c r="AE137" s="79"/>
      <c r="AF137" s="79">
        <v>742</v>
      </c>
      <c r="AG137" s="79"/>
      <c r="AH137" s="231">
        <v>0</v>
      </c>
      <c r="AI137" s="79"/>
      <c r="AJ137" s="82">
        <v>3950</v>
      </c>
      <c r="AK137" s="82"/>
      <c r="AL137" s="79">
        <v>790</v>
      </c>
      <c r="AM137" s="82"/>
      <c r="AN137" s="231">
        <v>0</v>
      </c>
      <c r="AO137" s="79"/>
      <c r="AP137" s="82"/>
      <c r="AQ137" s="79"/>
      <c r="AR137" s="79">
        <v>0</v>
      </c>
      <c r="AS137" s="56" t="s">
        <v>765</v>
      </c>
      <c r="AT137" s="56"/>
      <c r="AU137" s="56"/>
      <c r="AV137" s="231">
        <v>0</v>
      </c>
      <c r="AW137" s="79"/>
      <c r="AX137" s="82">
        <v>0</v>
      </c>
      <c r="AY137" s="82"/>
      <c r="AZ137" s="79">
        <v>0</v>
      </c>
      <c r="BA137" s="82"/>
      <c r="BB137" s="231">
        <v>0</v>
      </c>
      <c r="BC137" s="79"/>
      <c r="BD137" s="82">
        <v>0</v>
      </c>
      <c r="BE137" s="79"/>
      <c r="BF137" s="79">
        <v>0</v>
      </c>
      <c r="BG137" s="79"/>
      <c r="BH137" s="79"/>
      <c r="BI137" s="79"/>
      <c r="BJ137" s="79"/>
      <c r="BK137" s="79"/>
      <c r="BL137" s="79"/>
      <c r="BM137" s="315" t="s">
        <v>797</v>
      </c>
    </row>
    <row r="138" spans="1:65" ht="22.5" x14ac:dyDescent="0.2">
      <c r="A138" s="257"/>
      <c r="B138" s="257"/>
      <c r="C138" s="257"/>
      <c r="D138" s="87">
        <v>249</v>
      </c>
      <c r="E138" s="257"/>
      <c r="F138" s="88" t="s">
        <v>672</v>
      </c>
      <c r="G138" s="257"/>
      <c r="H138" s="88" t="s">
        <v>53</v>
      </c>
      <c r="I138" s="257"/>
      <c r="J138" s="225">
        <v>0.11</v>
      </c>
      <c r="K138" s="87"/>
      <c r="L138" s="88" t="s">
        <v>271</v>
      </c>
      <c r="M138" s="87"/>
      <c r="N138" s="87" t="s">
        <v>55</v>
      </c>
      <c r="O138" s="257"/>
      <c r="P138" s="257"/>
      <c r="Q138" s="56">
        <v>904</v>
      </c>
      <c r="R138" s="90"/>
      <c r="S138" s="87"/>
      <c r="T138" s="87">
        <v>0</v>
      </c>
      <c r="U138" s="87"/>
      <c r="V138" s="89"/>
      <c r="W138" s="87"/>
      <c r="X138" s="79"/>
      <c r="Y138" s="87"/>
      <c r="Z138" s="82">
        <v>0</v>
      </c>
      <c r="AA138" s="87"/>
      <c r="AB138" s="82">
        <v>6680</v>
      </c>
      <c r="AC138" s="257"/>
      <c r="AD138" s="82">
        <v>6045</v>
      </c>
      <c r="AE138" s="79"/>
      <c r="AF138" s="79"/>
      <c r="AG138" s="79"/>
      <c r="AH138" s="231">
        <v>0</v>
      </c>
      <c r="AI138" s="79"/>
      <c r="AJ138" s="82">
        <v>6701</v>
      </c>
      <c r="AK138" s="82"/>
      <c r="AL138" s="79">
        <v>81436</v>
      </c>
      <c r="AM138" s="82"/>
      <c r="AN138" s="231">
        <v>0</v>
      </c>
      <c r="AO138" s="79"/>
      <c r="AP138" s="82">
        <v>10247</v>
      </c>
      <c r="AQ138" s="79"/>
      <c r="AR138" s="79">
        <v>127800</v>
      </c>
      <c r="AS138" s="56" t="s">
        <v>262</v>
      </c>
      <c r="AT138" s="56"/>
      <c r="AU138" s="56"/>
      <c r="AV138" s="231">
        <v>0</v>
      </c>
      <c r="AW138" s="79"/>
      <c r="AX138" s="82">
        <v>15546</v>
      </c>
      <c r="AY138" s="82">
        <v>15546</v>
      </c>
      <c r="AZ138" s="79">
        <v>0</v>
      </c>
      <c r="BA138" s="82"/>
      <c r="BB138" s="231">
        <v>0</v>
      </c>
      <c r="BC138" s="79"/>
      <c r="BD138" s="82">
        <v>18375</v>
      </c>
      <c r="BE138" s="79"/>
      <c r="BF138" s="79">
        <v>0</v>
      </c>
      <c r="BG138" s="327"/>
      <c r="BH138" s="327"/>
      <c r="BI138" s="327"/>
      <c r="BJ138" s="327"/>
      <c r="BK138" s="327"/>
      <c r="BL138" s="327"/>
      <c r="BM138" s="155" t="s">
        <v>797</v>
      </c>
    </row>
    <row r="139" spans="1:65" ht="33.75" x14ac:dyDescent="0.2">
      <c r="A139" s="257"/>
      <c r="B139" s="257" t="s">
        <v>300</v>
      </c>
      <c r="C139" s="257"/>
      <c r="D139" s="87">
        <v>252</v>
      </c>
      <c r="E139" s="257"/>
      <c r="F139" s="88" t="s">
        <v>250</v>
      </c>
      <c r="G139" s="257"/>
      <c r="H139" s="88" t="s">
        <v>53</v>
      </c>
      <c r="I139" s="257"/>
      <c r="J139" s="225" t="s">
        <v>251</v>
      </c>
      <c r="K139" s="87"/>
      <c r="L139" s="88" t="s">
        <v>273</v>
      </c>
      <c r="M139" s="87">
        <v>0</v>
      </c>
      <c r="N139" s="87" t="s">
        <v>55</v>
      </c>
      <c r="O139" s="257"/>
      <c r="P139" s="257">
        <v>904.10799999999995</v>
      </c>
      <c r="Q139" s="56">
        <v>904</v>
      </c>
      <c r="R139" s="90">
        <v>1178</v>
      </c>
      <c r="S139" s="87"/>
      <c r="T139" s="87">
        <v>0</v>
      </c>
      <c r="U139" s="87">
        <v>47981</v>
      </c>
      <c r="V139" s="89">
        <v>47981</v>
      </c>
      <c r="W139" s="87"/>
      <c r="X139" s="79">
        <v>1254</v>
      </c>
      <c r="Y139" s="87"/>
      <c r="Z139" s="82">
        <v>0</v>
      </c>
      <c r="AA139" s="87"/>
      <c r="AB139" s="82">
        <v>55957</v>
      </c>
      <c r="AC139" s="257"/>
      <c r="AD139" s="82">
        <v>58967.57</v>
      </c>
      <c r="AE139" s="79"/>
      <c r="AF139" s="79">
        <v>1221</v>
      </c>
      <c r="AG139" s="79"/>
      <c r="AH139" s="82">
        <v>0</v>
      </c>
      <c r="AI139" s="79"/>
      <c r="AJ139" s="82">
        <v>69798.7</v>
      </c>
      <c r="AK139" s="82"/>
      <c r="AL139" s="79">
        <v>2385</v>
      </c>
      <c r="AM139" s="82"/>
      <c r="AN139" s="82">
        <v>0</v>
      </c>
      <c r="AO139" s="79"/>
      <c r="AP139" s="82">
        <v>76653.320000000007</v>
      </c>
      <c r="AQ139" s="79"/>
      <c r="AR139" s="79">
        <v>2644</v>
      </c>
      <c r="AS139" s="56" t="s">
        <v>673</v>
      </c>
      <c r="AT139" s="56"/>
      <c r="AU139" s="56"/>
      <c r="AV139" s="82">
        <v>0</v>
      </c>
      <c r="AW139" s="79"/>
      <c r="AX139" s="82">
        <v>78784.820000000007</v>
      </c>
      <c r="AY139" s="82"/>
      <c r="AZ139" s="79">
        <v>2605</v>
      </c>
      <c r="BA139" s="82"/>
      <c r="BB139" s="82">
        <v>0</v>
      </c>
      <c r="BC139" s="79"/>
      <c r="BD139" s="82">
        <v>91709.82</v>
      </c>
      <c r="BE139" s="79"/>
      <c r="BF139" s="79">
        <v>2488</v>
      </c>
      <c r="BG139" s="79"/>
      <c r="BH139" s="79"/>
      <c r="BI139" s="79"/>
      <c r="BJ139" s="79"/>
      <c r="BK139" s="79"/>
      <c r="BL139" s="79"/>
      <c r="BM139" s="315" t="s">
        <v>782</v>
      </c>
    </row>
    <row r="140" spans="1:65" x14ac:dyDescent="0.2">
      <c r="A140" s="257"/>
      <c r="B140" s="257"/>
      <c r="C140" s="257"/>
      <c r="D140" s="87">
        <v>252</v>
      </c>
      <c r="E140" s="257"/>
      <c r="F140" s="88" t="s">
        <v>301</v>
      </c>
      <c r="G140" s="257"/>
      <c r="H140" s="88" t="s">
        <v>53</v>
      </c>
      <c r="I140" s="257"/>
      <c r="J140" s="225" t="s">
        <v>302</v>
      </c>
      <c r="K140" s="87"/>
      <c r="L140" s="88" t="s">
        <v>303</v>
      </c>
      <c r="M140" s="87"/>
      <c r="N140" s="87" t="s">
        <v>55</v>
      </c>
      <c r="O140" s="257"/>
      <c r="P140" s="257">
        <v>904.80899999999997</v>
      </c>
      <c r="Q140" s="56">
        <v>904</v>
      </c>
      <c r="R140" s="87">
        <v>3</v>
      </c>
      <c r="S140" s="87"/>
      <c r="T140" s="87">
        <v>0</v>
      </c>
      <c r="U140" s="87">
        <v>50</v>
      </c>
      <c r="V140" s="89">
        <v>50</v>
      </c>
      <c r="W140" s="87"/>
      <c r="X140" s="79">
        <v>5</v>
      </c>
      <c r="Y140" s="87"/>
      <c r="Z140" s="82">
        <v>0</v>
      </c>
      <c r="AA140" s="87"/>
      <c r="AB140" s="82">
        <v>16543</v>
      </c>
      <c r="AC140" s="257"/>
      <c r="AD140" s="82">
        <v>18791</v>
      </c>
      <c r="AE140" s="79"/>
      <c r="AF140" s="79">
        <v>3</v>
      </c>
      <c r="AG140" s="79"/>
      <c r="AH140" s="82">
        <v>0</v>
      </c>
      <c r="AI140" s="79"/>
      <c r="AJ140" s="82">
        <v>17503.28</v>
      </c>
      <c r="AK140" s="82"/>
      <c r="AL140" s="79">
        <v>6</v>
      </c>
      <c r="AM140" s="82"/>
      <c r="AN140" s="82">
        <v>0</v>
      </c>
      <c r="AO140" s="79"/>
      <c r="AP140" s="82">
        <v>9924.66</v>
      </c>
      <c r="AQ140" s="79"/>
      <c r="AR140" s="79">
        <v>5</v>
      </c>
      <c r="AS140" s="56" t="s">
        <v>304</v>
      </c>
      <c r="AT140" s="56"/>
      <c r="AU140" s="56"/>
      <c r="AV140" s="82">
        <v>0</v>
      </c>
      <c r="AW140" s="79"/>
      <c r="AX140" s="82">
        <v>3912.79</v>
      </c>
      <c r="AY140" s="82"/>
      <c r="AZ140" s="79">
        <v>3</v>
      </c>
      <c r="BA140" s="82"/>
      <c r="BB140" s="82">
        <v>0</v>
      </c>
      <c r="BC140" s="79"/>
      <c r="BD140" s="82">
        <v>0</v>
      </c>
      <c r="BE140" s="79"/>
      <c r="BF140" s="79">
        <v>0</v>
      </c>
      <c r="BG140" s="327"/>
      <c r="BH140" s="327"/>
      <c r="BI140" s="327"/>
      <c r="BJ140" s="327"/>
      <c r="BK140" s="327"/>
      <c r="BL140" s="327"/>
      <c r="BM140" s="155" t="s">
        <v>797</v>
      </c>
    </row>
    <row r="141" spans="1:65" x14ac:dyDescent="0.2">
      <c r="A141" s="257"/>
      <c r="B141" s="257"/>
      <c r="C141" s="257"/>
      <c r="D141" s="87">
        <v>252</v>
      </c>
      <c r="E141" s="257"/>
      <c r="F141" s="88" t="s">
        <v>259</v>
      </c>
      <c r="G141" s="257"/>
      <c r="H141" s="88" t="s">
        <v>260</v>
      </c>
      <c r="I141" s="257"/>
      <c r="J141" s="225">
        <v>2</v>
      </c>
      <c r="K141" s="87"/>
      <c r="L141" s="88" t="s">
        <v>261</v>
      </c>
      <c r="M141" s="87"/>
      <c r="N141" s="87" t="s">
        <v>55</v>
      </c>
      <c r="O141" s="257"/>
      <c r="P141" s="257"/>
      <c r="Q141" s="56">
        <v>904</v>
      </c>
      <c r="R141" s="87">
        <v>687</v>
      </c>
      <c r="S141" s="87"/>
      <c r="T141" s="87">
        <v>0</v>
      </c>
      <c r="U141" s="87"/>
      <c r="V141" s="89">
        <v>1374</v>
      </c>
      <c r="W141" s="87"/>
      <c r="X141" s="79">
        <v>1421</v>
      </c>
      <c r="Y141" s="87"/>
      <c r="Z141" s="82">
        <v>0</v>
      </c>
      <c r="AA141" s="87"/>
      <c r="AB141" s="82">
        <v>2842</v>
      </c>
      <c r="AC141" s="257"/>
      <c r="AD141" s="82">
        <v>1448</v>
      </c>
      <c r="AE141" s="79"/>
      <c r="AF141" s="79">
        <v>724</v>
      </c>
      <c r="AG141" s="79"/>
      <c r="AH141" s="82">
        <v>0</v>
      </c>
      <c r="AI141" s="79"/>
      <c r="AJ141" s="82">
        <v>1808</v>
      </c>
      <c r="AK141" s="82"/>
      <c r="AL141" s="79">
        <v>904</v>
      </c>
      <c r="AM141" s="82"/>
      <c r="AN141" s="82">
        <v>0</v>
      </c>
      <c r="AO141" s="79"/>
      <c r="AP141" s="82">
        <v>1810</v>
      </c>
      <c r="AQ141" s="79"/>
      <c r="AR141" s="79">
        <v>905</v>
      </c>
      <c r="AS141" s="56" t="s">
        <v>262</v>
      </c>
      <c r="AT141" s="56"/>
      <c r="AU141" s="56" t="s">
        <v>263</v>
      </c>
      <c r="AV141" s="82">
        <v>0</v>
      </c>
      <c r="AW141" s="79"/>
      <c r="AX141" s="82">
        <v>1928</v>
      </c>
      <c r="AY141" s="82"/>
      <c r="AZ141" s="79">
        <v>964</v>
      </c>
      <c r="BA141" s="82"/>
      <c r="BB141" s="82">
        <v>0</v>
      </c>
      <c r="BC141" s="79"/>
      <c r="BD141" s="82">
        <v>1930</v>
      </c>
      <c r="BE141" s="79"/>
      <c r="BF141" s="79">
        <v>965</v>
      </c>
      <c r="BG141" s="79"/>
      <c r="BH141" s="79"/>
      <c r="BI141" s="79"/>
      <c r="BJ141" s="79"/>
      <c r="BK141" s="79"/>
      <c r="BL141" s="79"/>
      <c r="BM141" s="315" t="s">
        <v>797</v>
      </c>
    </row>
    <row r="142" spans="1:65" x14ac:dyDescent="0.2">
      <c r="A142" s="257"/>
      <c r="B142" s="257"/>
      <c r="C142" s="257"/>
      <c r="D142" s="87">
        <v>252</v>
      </c>
      <c r="E142" s="257"/>
      <c r="F142" s="88" t="s">
        <v>259</v>
      </c>
      <c r="G142" s="257"/>
      <c r="H142" s="88" t="s">
        <v>53</v>
      </c>
      <c r="I142" s="257"/>
      <c r="J142" s="225">
        <v>2</v>
      </c>
      <c r="K142" s="87"/>
      <c r="L142" s="88" t="s">
        <v>261</v>
      </c>
      <c r="M142" s="87"/>
      <c r="N142" s="87" t="s">
        <v>55</v>
      </c>
      <c r="O142" s="257"/>
      <c r="P142" s="257"/>
      <c r="Q142" s="56">
        <v>904</v>
      </c>
      <c r="R142" s="87">
        <v>31</v>
      </c>
      <c r="S142" s="87"/>
      <c r="T142" s="87">
        <v>0</v>
      </c>
      <c r="U142" s="87"/>
      <c r="V142" s="89">
        <v>62</v>
      </c>
      <c r="W142" s="87"/>
      <c r="X142" s="79">
        <v>116</v>
      </c>
      <c r="Y142" s="87"/>
      <c r="Z142" s="82">
        <v>0</v>
      </c>
      <c r="AA142" s="87"/>
      <c r="AB142" s="82">
        <v>232</v>
      </c>
      <c r="AC142" s="257"/>
      <c r="AD142" s="82">
        <v>182</v>
      </c>
      <c r="AE142" s="79"/>
      <c r="AF142" s="79">
        <v>91</v>
      </c>
      <c r="AG142" s="79"/>
      <c r="AH142" s="82">
        <v>0</v>
      </c>
      <c r="AI142" s="79"/>
      <c r="AJ142" s="82">
        <v>303</v>
      </c>
      <c r="AK142" s="82"/>
      <c r="AL142" s="79">
        <v>150</v>
      </c>
      <c r="AM142" s="82"/>
      <c r="AN142" s="82">
        <v>0</v>
      </c>
      <c r="AO142" s="79"/>
      <c r="AP142" s="82">
        <v>287</v>
      </c>
      <c r="AQ142" s="79"/>
      <c r="AR142" s="79">
        <v>144</v>
      </c>
      <c r="AS142" s="56" t="s">
        <v>262</v>
      </c>
      <c r="AT142" s="56"/>
      <c r="AU142" s="56" t="s">
        <v>263</v>
      </c>
      <c r="AV142" s="82">
        <v>0</v>
      </c>
      <c r="AW142" s="79"/>
      <c r="AX142" s="82">
        <v>233.4</v>
      </c>
      <c r="AY142" s="82"/>
      <c r="AZ142" s="79">
        <v>117</v>
      </c>
      <c r="BA142" s="82"/>
      <c r="BB142" s="82">
        <v>0</v>
      </c>
      <c r="BC142" s="79"/>
      <c r="BD142" s="82">
        <v>362.1</v>
      </c>
      <c r="BE142" s="79"/>
      <c r="BF142" s="79">
        <v>181</v>
      </c>
      <c r="BG142" s="327"/>
      <c r="BH142" s="327"/>
      <c r="BI142" s="327"/>
      <c r="BJ142" s="327"/>
      <c r="BK142" s="327"/>
      <c r="BL142" s="327"/>
      <c r="BM142" s="155" t="s">
        <v>797</v>
      </c>
    </row>
    <row r="143" spans="1:65" ht="22.5" x14ac:dyDescent="0.2">
      <c r="A143" s="257"/>
      <c r="B143" s="257"/>
      <c r="C143" s="257"/>
      <c r="D143" s="87">
        <v>252</v>
      </c>
      <c r="E143" s="257"/>
      <c r="F143" s="88" t="s">
        <v>266</v>
      </c>
      <c r="G143" s="257"/>
      <c r="H143" s="88" t="s">
        <v>267</v>
      </c>
      <c r="I143" s="257"/>
      <c r="J143" s="225" t="s">
        <v>302</v>
      </c>
      <c r="K143" s="87"/>
      <c r="L143" s="88" t="s">
        <v>269</v>
      </c>
      <c r="M143" s="87"/>
      <c r="N143" s="87" t="s">
        <v>55</v>
      </c>
      <c r="O143" s="257"/>
      <c r="P143" s="257"/>
      <c r="Q143" s="56">
        <v>904</v>
      </c>
      <c r="R143" s="87">
        <v>250</v>
      </c>
      <c r="S143" s="87"/>
      <c r="T143" s="87">
        <v>0</v>
      </c>
      <c r="U143" s="87"/>
      <c r="V143" s="89">
        <v>1873</v>
      </c>
      <c r="W143" s="87"/>
      <c r="X143" s="79">
        <v>250</v>
      </c>
      <c r="Y143" s="87"/>
      <c r="Z143" s="82">
        <v>0</v>
      </c>
      <c r="AA143" s="87"/>
      <c r="AB143" s="82">
        <v>1836</v>
      </c>
      <c r="AC143" s="257"/>
      <c r="AD143" s="82">
        <v>1920.78</v>
      </c>
      <c r="AE143" s="79"/>
      <c r="AF143" s="79">
        <v>250</v>
      </c>
      <c r="AG143" s="79"/>
      <c r="AH143" s="82">
        <v>0</v>
      </c>
      <c r="AI143" s="79"/>
      <c r="AJ143" s="82">
        <v>1782.31</v>
      </c>
      <c r="AK143" s="82"/>
      <c r="AL143" s="79">
        <v>11880</v>
      </c>
      <c r="AM143" s="82"/>
      <c r="AN143" s="82">
        <v>0</v>
      </c>
      <c r="AO143" s="79"/>
      <c r="AP143" s="82">
        <v>1449.85</v>
      </c>
      <c r="AQ143" s="79"/>
      <c r="AR143" s="79">
        <v>9667</v>
      </c>
      <c r="AS143" s="56" t="s">
        <v>765</v>
      </c>
      <c r="AT143" s="56"/>
      <c r="AU143" s="56"/>
      <c r="AV143" s="82">
        <v>0</v>
      </c>
      <c r="AW143" s="79"/>
      <c r="AX143" s="82">
        <v>864.99</v>
      </c>
      <c r="AY143" s="82"/>
      <c r="AZ143" s="79">
        <v>5766</v>
      </c>
      <c r="BA143" s="82"/>
      <c r="BB143" s="82">
        <v>0</v>
      </c>
      <c r="BC143" s="79"/>
      <c r="BD143" s="82">
        <v>675.87</v>
      </c>
      <c r="BE143" s="79"/>
      <c r="BF143" s="79">
        <v>4507</v>
      </c>
      <c r="BG143" s="79"/>
      <c r="BH143" s="79"/>
      <c r="BI143" s="79"/>
      <c r="BJ143" s="79"/>
      <c r="BK143" s="79"/>
      <c r="BL143" s="79"/>
      <c r="BM143" s="315" t="s">
        <v>797</v>
      </c>
    </row>
    <row r="144" spans="1:65" ht="22.5" x14ac:dyDescent="0.2">
      <c r="A144" s="257"/>
      <c r="B144" s="257"/>
      <c r="C144" s="257"/>
      <c r="D144" s="87">
        <v>252</v>
      </c>
      <c r="E144" s="257"/>
      <c r="F144" s="88" t="s">
        <v>264</v>
      </c>
      <c r="G144" s="257"/>
      <c r="H144" s="88" t="s">
        <v>53</v>
      </c>
      <c r="I144" s="257"/>
      <c r="J144" s="225" t="s">
        <v>302</v>
      </c>
      <c r="K144" s="87"/>
      <c r="L144" s="88" t="s">
        <v>265</v>
      </c>
      <c r="M144" s="87"/>
      <c r="N144" s="87" t="s">
        <v>55</v>
      </c>
      <c r="O144" s="257"/>
      <c r="P144" s="257"/>
      <c r="Q144" s="56">
        <v>904</v>
      </c>
      <c r="R144" s="87">
        <v>500</v>
      </c>
      <c r="S144" s="87"/>
      <c r="T144" s="87">
        <v>0</v>
      </c>
      <c r="U144" s="87"/>
      <c r="V144" s="89">
        <v>7402</v>
      </c>
      <c r="W144" s="87"/>
      <c r="X144" s="79">
        <v>500</v>
      </c>
      <c r="Y144" s="87"/>
      <c r="Z144" s="82">
        <v>0</v>
      </c>
      <c r="AA144" s="87"/>
      <c r="AB144" s="82">
        <v>7637</v>
      </c>
      <c r="AC144" s="257"/>
      <c r="AD144" s="82">
        <v>5599.99</v>
      </c>
      <c r="AE144" s="79"/>
      <c r="AF144" s="79">
        <v>500</v>
      </c>
      <c r="AG144" s="79"/>
      <c r="AH144" s="82">
        <v>0</v>
      </c>
      <c r="AI144" s="79"/>
      <c r="AJ144" s="82">
        <v>4954.75</v>
      </c>
      <c r="AK144" s="82"/>
      <c r="AL144" s="79">
        <v>1652</v>
      </c>
      <c r="AM144" s="82"/>
      <c r="AN144" s="82">
        <v>0</v>
      </c>
      <c r="AO144" s="79"/>
      <c r="AP144" s="82">
        <v>5643.72</v>
      </c>
      <c r="AQ144" s="79"/>
      <c r="AR144" s="79">
        <v>1881</v>
      </c>
      <c r="AS144" s="56" t="s">
        <v>765</v>
      </c>
      <c r="AT144" s="56"/>
      <c r="AU144" s="56"/>
      <c r="AV144" s="82">
        <v>0</v>
      </c>
      <c r="AW144" s="79"/>
      <c r="AX144" s="82">
        <v>5576.5899999999992</v>
      </c>
      <c r="AY144" s="82"/>
      <c r="AZ144" s="79">
        <v>1859</v>
      </c>
      <c r="BA144" s="82"/>
      <c r="BB144" s="82">
        <v>0</v>
      </c>
      <c r="BC144" s="79"/>
      <c r="BD144" s="82">
        <v>5248.12</v>
      </c>
      <c r="BE144" s="79"/>
      <c r="BF144" s="79">
        <v>1749</v>
      </c>
      <c r="BG144" s="327"/>
      <c r="BH144" s="327"/>
      <c r="BI144" s="327"/>
      <c r="BJ144" s="327"/>
      <c r="BK144" s="327"/>
      <c r="BL144" s="327"/>
      <c r="BM144" s="155" t="s">
        <v>797</v>
      </c>
    </row>
    <row r="145" spans="1:65" ht="29.45" customHeight="1" x14ac:dyDescent="0.2">
      <c r="A145" s="257"/>
      <c r="B145" s="257"/>
      <c r="C145" s="257"/>
      <c r="D145" s="87">
        <v>252</v>
      </c>
      <c r="E145" s="257"/>
      <c r="F145" s="88" t="s">
        <v>672</v>
      </c>
      <c r="G145" s="257"/>
      <c r="H145" s="88" t="s">
        <v>53</v>
      </c>
      <c r="I145" s="257"/>
      <c r="J145" s="225">
        <v>0.11</v>
      </c>
      <c r="K145" s="87"/>
      <c r="L145" s="88" t="s">
        <v>271</v>
      </c>
      <c r="M145" s="87"/>
      <c r="N145" s="87" t="s">
        <v>55</v>
      </c>
      <c r="O145" s="257"/>
      <c r="P145" s="257"/>
      <c r="Q145" s="56">
        <v>904</v>
      </c>
      <c r="R145" s="87"/>
      <c r="S145" s="87"/>
      <c r="T145" s="87"/>
      <c r="U145" s="87"/>
      <c r="V145" s="89"/>
      <c r="W145" s="87"/>
      <c r="X145" s="79"/>
      <c r="Y145" s="87"/>
      <c r="Z145" s="82">
        <v>0</v>
      </c>
      <c r="AA145" s="87"/>
      <c r="AB145" s="82">
        <v>6680</v>
      </c>
      <c r="AC145" s="257"/>
      <c r="AD145" s="82">
        <v>10745.86</v>
      </c>
      <c r="AE145" s="79"/>
      <c r="AF145" s="79" t="s">
        <v>706</v>
      </c>
      <c r="AG145" s="79"/>
      <c r="AH145" s="82">
        <v>0</v>
      </c>
      <c r="AI145" s="79"/>
      <c r="AJ145" s="82">
        <v>21675.16</v>
      </c>
      <c r="AK145" s="82"/>
      <c r="AL145" s="79" t="s">
        <v>763</v>
      </c>
      <c r="AM145" s="82"/>
      <c r="AN145" s="82">
        <v>0</v>
      </c>
      <c r="AO145" s="79"/>
      <c r="AP145" s="82">
        <v>33069.96</v>
      </c>
      <c r="AQ145" s="79"/>
      <c r="AR145" s="79" t="s">
        <v>764</v>
      </c>
      <c r="AS145" s="56" t="s">
        <v>262</v>
      </c>
      <c r="AT145" s="56"/>
      <c r="AU145" s="56"/>
      <c r="AV145" s="82">
        <v>0</v>
      </c>
      <c r="AW145" s="79"/>
      <c r="AX145" s="82">
        <v>33266.75</v>
      </c>
      <c r="AY145" s="82"/>
      <c r="AZ145" s="79" t="s">
        <v>814</v>
      </c>
      <c r="BA145" s="82"/>
      <c r="BB145" s="82">
        <v>0</v>
      </c>
      <c r="BC145" s="79"/>
      <c r="BD145" s="82">
        <v>34134.54</v>
      </c>
      <c r="BE145" s="79"/>
      <c r="BF145" s="79" t="s">
        <v>815</v>
      </c>
      <c r="BG145" s="79"/>
      <c r="BH145" s="79"/>
      <c r="BI145" s="79"/>
      <c r="BJ145" s="79"/>
      <c r="BK145" s="79"/>
      <c r="BL145" s="79"/>
      <c r="BM145" s="315" t="s">
        <v>797</v>
      </c>
    </row>
    <row r="146" spans="1:65" ht="13.9" customHeight="1" x14ac:dyDescent="0.2">
      <c r="A146" s="257"/>
      <c r="B146" s="335"/>
      <c r="C146" s="335"/>
      <c r="D146" s="336">
        <v>252</v>
      </c>
      <c r="E146" s="335"/>
      <c r="F146" s="337" t="s">
        <v>270</v>
      </c>
      <c r="G146" s="335"/>
      <c r="H146" s="337" t="s">
        <v>53</v>
      </c>
      <c r="I146" s="335"/>
      <c r="J146" s="338">
        <v>5</v>
      </c>
      <c r="K146" s="336"/>
      <c r="L146" s="337" t="s">
        <v>271</v>
      </c>
      <c r="M146" s="336"/>
      <c r="N146" s="336" t="s">
        <v>55</v>
      </c>
      <c r="O146" s="335"/>
      <c r="P146" s="335"/>
      <c r="Q146" s="56">
        <v>904</v>
      </c>
      <c r="R146" s="336">
        <v>300</v>
      </c>
      <c r="S146" s="336"/>
      <c r="T146" s="336">
        <v>0</v>
      </c>
      <c r="U146" s="336"/>
      <c r="V146" s="339">
        <v>8927</v>
      </c>
      <c r="W146" s="336"/>
      <c r="X146" s="232">
        <v>300</v>
      </c>
      <c r="Y146" s="336"/>
      <c r="Z146" s="233">
        <v>0</v>
      </c>
      <c r="AA146" s="336"/>
      <c r="AB146" s="233">
        <v>6538</v>
      </c>
      <c r="AC146" s="335"/>
      <c r="AD146" s="233">
        <v>6574.96</v>
      </c>
      <c r="AE146" s="232"/>
      <c r="AF146" s="232">
        <v>300</v>
      </c>
      <c r="AG146" s="232"/>
      <c r="AH146" s="233">
        <v>0</v>
      </c>
      <c r="AI146" s="232"/>
      <c r="AJ146" s="233">
        <v>5936.74</v>
      </c>
      <c r="AK146" s="233"/>
      <c r="AL146" s="232">
        <v>1187</v>
      </c>
      <c r="AM146" s="233"/>
      <c r="AN146" s="233">
        <v>0</v>
      </c>
      <c r="AO146" s="232"/>
      <c r="AP146" s="233">
        <v>363.28</v>
      </c>
      <c r="AQ146" s="232"/>
      <c r="AR146" s="232">
        <v>73</v>
      </c>
      <c r="AS146" s="56" t="s">
        <v>765</v>
      </c>
      <c r="AT146" s="56"/>
      <c r="AU146" s="56"/>
      <c r="AV146" s="233">
        <v>0</v>
      </c>
      <c r="AW146" s="232"/>
      <c r="AX146" s="233">
        <v>310</v>
      </c>
      <c r="AY146" s="233"/>
      <c r="AZ146" s="232">
        <v>62</v>
      </c>
      <c r="BA146" s="233"/>
      <c r="BB146" s="233">
        <v>0</v>
      </c>
      <c r="BC146" s="232"/>
      <c r="BD146" s="233">
        <v>10</v>
      </c>
      <c r="BE146" s="232"/>
      <c r="BF146" s="232">
        <v>2</v>
      </c>
      <c r="BG146" s="327"/>
      <c r="BH146" s="327"/>
      <c r="BI146" s="327"/>
      <c r="BJ146" s="327"/>
      <c r="BK146" s="327"/>
      <c r="BL146" s="327"/>
      <c r="BM146" s="155" t="s">
        <v>797</v>
      </c>
    </row>
    <row r="147" spans="1:65" x14ac:dyDescent="0.2">
      <c r="A147" s="257"/>
      <c r="B147" s="441" t="s">
        <v>559</v>
      </c>
      <c r="C147" s="442"/>
      <c r="D147" s="442"/>
      <c r="E147" s="330"/>
      <c r="F147" s="331"/>
      <c r="G147" s="330"/>
      <c r="H147" s="331"/>
      <c r="I147" s="330"/>
      <c r="J147" s="332"/>
      <c r="K147" s="332"/>
      <c r="L147" s="332"/>
      <c r="M147" s="332"/>
      <c r="N147" s="332"/>
      <c r="O147" s="330"/>
      <c r="P147" s="330"/>
      <c r="Q147" s="330"/>
      <c r="R147" s="333">
        <f>SUM(R2:R146)</f>
        <v>88563</v>
      </c>
      <c r="S147" s="333"/>
      <c r="T147" s="333">
        <f t="shared" ref="T147:AB147" si="0">SUM(T2:T146)</f>
        <v>0</v>
      </c>
      <c r="U147" s="333">
        <f t="shared" si="0"/>
        <v>3991790.95</v>
      </c>
      <c r="V147" s="333">
        <f t="shared" si="0"/>
        <v>12304021.090000002</v>
      </c>
      <c r="W147" s="333">
        <f t="shared" si="0"/>
        <v>0</v>
      </c>
      <c r="X147" s="333">
        <f t="shared" si="0"/>
        <v>83410</v>
      </c>
      <c r="Y147" s="333">
        <f t="shared" si="0"/>
        <v>0</v>
      </c>
      <c r="Z147" s="333">
        <f t="shared" si="0"/>
        <v>0</v>
      </c>
      <c r="AA147" s="333">
        <f t="shared" si="0"/>
        <v>0</v>
      </c>
      <c r="AB147" s="333">
        <f t="shared" si="0"/>
        <v>13288629.57</v>
      </c>
      <c r="AC147" s="333"/>
      <c r="AD147" s="334">
        <f>SUM(AD2:AD146)</f>
        <v>13476850.93</v>
      </c>
      <c r="AE147" s="334"/>
      <c r="AF147" s="334"/>
      <c r="AG147" s="334"/>
      <c r="AH147" s="334">
        <f>SUM(AH2:AH146)</f>
        <v>0</v>
      </c>
      <c r="AI147" s="334"/>
      <c r="AJ147" s="334">
        <f>SUM(AJ2:AJ146)</f>
        <v>13936935.399999999</v>
      </c>
      <c r="AK147" s="334"/>
      <c r="AL147" s="333"/>
      <c r="AM147" s="334"/>
      <c r="AN147" s="334">
        <f>SUM(AN2:AN146)</f>
        <v>0</v>
      </c>
      <c r="AO147" s="334"/>
      <c r="AP147" s="334">
        <f>SUM(AP2:AP146)</f>
        <v>14611684.300000003</v>
      </c>
      <c r="AQ147" s="334"/>
      <c r="AR147" s="333"/>
      <c r="AS147" s="330"/>
      <c r="AT147" s="330"/>
      <c r="AU147" s="330"/>
      <c r="AV147" s="334">
        <f>SUM(AV2:AV146)</f>
        <v>130713.06</v>
      </c>
      <c r="AW147" s="334"/>
      <c r="AX147" s="334">
        <f>SUM(AX2:AX146)</f>
        <v>15294073.73</v>
      </c>
      <c r="AY147" s="334"/>
      <c r="AZ147" s="333"/>
      <c r="BA147" s="334"/>
      <c r="BB147" s="334">
        <f>SUM(BB2:BB146)</f>
        <v>92411.72</v>
      </c>
      <c r="BC147" s="334"/>
      <c r="BD147" s="334">
        <f>SUM(BD2:BD146)</f>
        <v>15987349.399999995</v>
      </c>
      <c r="BE147" s="334"/>
      <c r="BF147" s="333"/>
      <c r="BG147" s="333"/>
      <c r="BH147" s="333"/>
      <c r="BI147" s="333"/>
      <c r="BJ147" s="333"/>
      <c r="BK147" s="333"/>
      <c r="BL147" s="333"/>
      <c r="BM147" s="312"/>
    </row>
    <row r="148" spans="1:65" ht="15.75" customHeight="1" x14ac:dyDescent="0.2">
      <c r="A148" s="91"/>
      <c r="B148" s="443"/>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3"/>
      <c r="AZ148" s="443"/>
      <c r="BA148" s="443"/>
      <c r="BB148" s="443"/>
      <c r="BC148" s="443"/>
      <c r="BD148" s="443"/>
      <c r="BE148" s="443"/>
      <c r="BF148" s="443"/>
      <c r="BG148" s="292"/>
      <c r="BH148" s="292"/>
      <c r="BI148" s="292"/>
      <c r="BJ148" s="292"/>
      <c r="BK148" s="292"/>
      <c r="BL148" s="292"/>
    </row>
    <row r="149" spans="1:65" ht="16.5" customHeight="1" x14ac:dyDescent="0.2">
      <c r="A149" s="92" t="s">
        <v>508</v>
      </c>
      <c r="B149" s="92" t="s">
        <v>554</v>
      </c>
      <c r="C149" s="56"/>
      <c r="E149" s="56"/>
      <c r="J149" s="54"/>
      <c r="K149" s="54"/>
      <c r="L149" s="54"/>
      <c r="M149" s="54"/>
      <c r="N149" s="56"/>
      <c r="O149" s="56"/>
      <c r="P149" s="56"/>
      <c r="Q149" s="56"/>
      <c r="R149" s="54"/>
      <c r="S149" s="54"/>
      <c r="T149" s="54"/>
      <c r="U149" s="54"/>
      <c r="V149" s="65"/>
      <c r="W149" s="54"/>
      <c r="X149" s="66"/>
      <c r="Y149" s="66"/>
      <c r="Z149" s="66"/>
      <c r="AA149" s="66"/>
      <c r="AB149" s="66"/>
      <c r="AC149" s="56"/>
      <c r="AD149" s="110"/>
      <c r="AE149" s="66"/>
      <c r="AF149" s="66"/>
      <c r="AG149" s="66"/>
      <c r="AH149" s="66"/>
      <c r="AI149" s="66"/>
      <c r="AJ149" s="66"/>
      <c r="AK149" s="66"/>
      <c r="AL149" s="66"/>
      <c r="AM149" s="66"/>
      <c r="AN149" s="66"/>
      <c r="AO149" s="66"/>
      <c r="AP149" s="66"/>
      <c r="AQ149" s="66"/>
      <c r="AR149" s="66"/>
      <c r="AS149" s="56"/>
      <c r="AT149" s="56"/>
      <c r="AU149" s="56"/>
      <c r="AV149" s="66"/>
      <c r="AW149" s="66"/>
      <c r="AX149" s="66"/>
      <c r="AY149" s="66"/>
      <c r="AZ149" s="66"/>
      <c r="BA149" s="66"/>
      <c r="BB149" s="66"/>
      <c r="BC149" s="66"/>
      <c r="BD149" s="66"/>
      <c r="BE149" s="66"/>
      <c r="BF149" s="66"/>
      <c r="BG149" s="66"/>
      <c r="BH149" s="66"/>
      <c r="BI149" s="66"/>
      <c r="BJ149" s="66"/>
      <c r="BK149" s="66"/>
      <c r="BL149" s="66"/>
    </row>
    <row r="150" spans="1:65" ht="16.5" customHeight="1" x14ac:dyDescent="0.2">
      <c r="A150" s="92" t="s">
        <v>508</v>
      </c>
      <c r="B150" s="92" t="s">
        <v>555</v>
      </c>
      <c r="C150" s="56"/>
      <c r="E150" s="56"/>
      <c r="J150" s="54"/>
      <c r="K150" s="54"/>
      <c r="L150" s="54"/>
      <c r="M150" s="54"/>
      <c r="N150" s="56"/>
      <c r="O150" s="56"/>
      <c r="P150" s="56"/>
      <c r="Q150" s="56"/>
      <c r="R150" s="54"/>
      <c r="S150" s="54"/>
      <c r="T150" s="54"/>
      <c r="U150" s="54"/>
      <c r="V150" s="65"/>
      <c r="W150" s="54"/>
      <c r="X150" s="66"/>
      <c r="Y150" s="66"/>
      <c r="Z150" s="66"/>
      <c r="AA150" s="66"/>
      <c r="AB150" s="66"/>
      <c r="AC150" s="56"/>
      <c r="AD150" s="110"/>
      <c r="AE150" s="66"/>
      <c r="AF150" s="66"/>
      <c r="AG150" s="66"/>
      <c r="AH150" s="66"/>
      <c r="AI150" s="66"/>
      <c r="AJ150" s="66"/>
      <c r="AK150" s="66"/>
      <c r="AL150" s="66"/>
      <c r="AM150" s="66"/>
      <c r="AN150" s="66"/>
      <c r="AO150" s="66"/>
      <c r="AP150" s="66"/>
      <c r="AQ150" s="66"/>
      <c r="AR150" s="66"/>
      <c r="AS150" s="56"/>
      <c r="AT150" s="56"/>
      <c r="AU150" s="56"/>
      <c r="AV150" s="66"/>
      <c r="AW150" s="66"/>
      <c r="AX150" s="66"/>
      <c r="AY150" s="66"/>
      <c r="AZ150" s="66"/>
      <c r="BA150" s="66"/>
      <c r="BB150" s="66"/>
      <c r="BC150" s="66"/>
      <c r="BD150" s="66"/>
      <c r="BE150" s="66"/>
      <c r="BF150" s="66"/>
      <c r="BG150" s="66"/>
      <c r="BH150" s="66"/>
      <c r="BI150" s="66"/>
      <c r="BJ150" s="66"/>
      <c r="BK150" s="66"/>
      <c r="BL150" s="66"/>
    </row>
    <row r="151" spans="1:65" ht="15" customHeight="1" x14ac:dyDescent="0.2">
      <c r="B151" s="92" t="s">
        <v>523</v>
      </c>
      <c r="C151" s="56"/>
      <c r="E151" s="56"/>
      <c r="J151" s="54"/>
      <c r="K151" s="54"/>
      <c r="L151" s="54"/>
      <c r="M151" s="54"/>
      <c r="N151" s="56"/>
      <c r="O151" s="56"/>
      <c r="P151" s="56"/>
      <c r="Q151" s="56"/>
      <c r="R151" s="54"/>
      <c r="S151" s="54"/>
      <c r="T151" s="54"/>
      <c r="U151" s="54"/>
      <c r="V151" s="65"/>
      <c r="W151" s="54"/>
      <c r="X151" s="66"/>
      <c r="Y151" s="66"/>
      <c r="Z151" s="66"/>
      <c r="AA151" s="66"/>
      <c r="AB151" s="66"/>
      <c r="AC151" s="56"/>
      <c r="AD151" s="110"/>
      <c r="AE151" s="66"/>
      <c r="AF151" s="66"/>
      <c r="AG151" s="66"/>
      <c r="AH151" s="66"/>
      <c r="AI151" s="66"/>
      <c r="AJ151" s="66"/>
      <c r="AK151" s="66"/>
      <c r="AL151" s="66"/>
      <c r="AM151" s="66"/>
      <c r="AN151" s="66"/>
      <c r="AO151" s="66"/>
      <c r="AP151" s="66"/>
      <c r="AQ151" s="66"/>
      <c r="AR151" s="66"/>
      <c r="AS151" s="56"/>
      <c r="AT151" s="56"/>
      <c r="AU151" s="56"/>
      <c r="AV151" s="66"/>
      <c r="AW151" s="66"/>
      <c r="AX151" s="66"/>
      <c r="AY151" s="66"/>
      <c r="AZ151" s="66"/>
      <c r="BA151" s="66"/>
      <c r="BB151" s="66"/>
      <c r="BC151" s="66"/>
      <c r="BD151" s="66"/>
      <c r="BE151" s="66"/>
      <c r="BF151" s="66"/>
      <c r="BG151" s="66"/>
      <c r="BH151" s="66"/>
      <c r="BI151" s="66"/>
      <c r="BJ151" s="66"/>
      <c r="BK151" s="66"/>
      <c r="BL151" s="66"/>
    </row>
    <row r="152" spans="1:65" ht="15.75" customHeight="1" x14ac:dyDescent="0.2">
      <c r="B152" s="92" t="s">
        <v>524</v>
      </c>
      <c r="C152" s="56"/>
      <c r="D152" s="56"/>
      <c r="E152" s="56"/>
      <c r="F152" s="56"/>
      <c r="H152" s="56"/>
      <c r="K152" s="56"/>
      <c r="N152" s="56"/>
      <c r="O152" s="56"/>
      <c r="P152" s="56"/>
      <c r="Q152" s="56"/>
      <c r="S152" s="56"/>
      <c r="T152" s="56"/>
      <c r="U152" s="56"/>
      <c r="V152" s="56"/>
      <c r="W152" s="56"/>
      <c r="X152" s="67"/>
      <c r="Y152" s="67"/>
      <c r="Z152" s="67"/>
      <c r="AA152" s="67"/>
      <c r="AC152" s="56"/>
      <c r="AD152" s="67"/>
      <c r="AE152" s="67"/>
      <c r="AF152" s="67"/>
      <c r="AG152" s="67"/>
      <c r="AH152" s="67"/>
      <c r="AI152" s="67"/>
      <c r="AN152" s="67"/>
      <c r="AO152" s="67"/>
      <c r="AQ152" s="67"/>
      <c r="AR152" s="67"/>
      <c r="AS152" s="56"/>
      <c r="AT152" s="56"/>
      <c r="AU152" s="56"/>
      <c r="AV152" s="67"/>
      <c r="AW152" s="67"/>
      <c r="BB152" s="67"/>
      <c r="BC152" s="67"/>
      <c r="BE152" s="67"/>
      <c r="BF152" s="67"/>
      <c r="BG152" s="67"/>
      <c r="BH152" s="67"/>
      <c r="BI152" s="67"/>
      <c r="BJ152" s="67"/>
      <c r="BK152" s="67"/>
      <c r="BL152" s="67"/>
    </row>
    <row r="153" spans="1:65" x14ac:dyDescent="0.2">
      <c r="B153" s="92" t="s">
        <v>553</v>
      </c>
      <c r="C153" s="56"/>
      <c r="D153" s="56"/>
      <c r="E153" s="56"/>
      <c r="F153" s="56"/>
      <c r="H153" s="56"/>
      <c r="K153" s="56"/>
      <c r="N153" s="56"/>
      <c r="O153" s="56"/>
      <c r="P153" s="56"/>
      <c r="Q153" s="56"/>
      <c r="S153" s="56"/>
      <c r="T153" s="56"/>
      <c r="U153" s="56"/>
      <c r="V153" s="56"/>
      <c r="W153" s="56"/>
      <c r="X153" s="67"/>
      <c r="Y153" s="67"/>
      <c r="Z153" s="67"/>
      <c r="AA153" s="67"/>
      <c r="AC153" s="56"/>
      <c r="AD153" s="67"/>
      <c r="AE153" s="67"/>
      <c r="AF153" s="67"/>
      <c r="AG153" s="67"/>
      <c r="AH153" s="67"/>
      <c r="AI153" s="67"/>
      <c r="AN153" s="67"/>
      <c r="AO153" s="67"/>
      <c r="AQ153" s="67"/>
      <c r="AR153" s="67"/>
      <c r="AS153" s="56"/>
      <c r="AT153" s="56"/>
      <c r="AU153" s="56"/>
      <c r="AV153" s="67"/>
      <c r="AW153" s="67"/>
      <c r="BB153" s="67"/>
      <c r="BC153" s="67"/>
      <c r="BE153" s="67"/>
      <c r="BF153" s="67"/>
      <c r="BG153" s="67"/>
      <c r="BH153" s="67"/>
      <c r="BI153" s="67"/>
      <c r="BJ153" s="67"/>
      <c r="BK153" s="67"/>
      <c r="BL153" s="67"/>
    </row>
    <row r="154" spans="1:65" x14ac:dyDescent="0.2">
      <c r="B154" s="92" t="s">
        <v>556</v>
      </c>
      <c r="C154" s="56"/>
      <c r="D154" s="56"/>
      <c r="E154" s="56"/>
      <c r="F154" s="56"/>
      <c r="H154" s="56"/>
      <c r="K154" s="56"/>
      <c r="N154" s="56"/>
      <c r="O154" s="56"/>
      <c r="P154" s="56"/>
      <c r="Q154" s="56"/>
      <c r="S154" s="56"/>
      <c r="T154" s="56"/>
      <c r="U154" s="56"/>
      <c r="V154" s="56"/>
      <c r="W154" s="56"/>
      <c r="X154" s="67"/>
      <c r="Y154" s="67"/>
      <c r="Z154" s="67"/>
      <c r="AA154" s="67"/>
      <c r="AC154" s="56"/>
      <c r="AD154" s="67"/>
      <c r="AE154" s="67"/>
      <c r="AF154" s="67"/>
      <c r="AG154" s="67"/>
      <c r="AH154" s="67"/>
      <c r="AI154" s="67"/>
      <c r="AN154" s="67"/>
      <c r="AO154" s="67"/>
      <c r="AQ154" s="67"/>
      <c r="AR154" s="67"/>
      <c r="AS154" s="56"/>
      <c r="AT154" s="56"/>
      <c r="AU154" s="56"/>
      <c r="AV154" s="67"/>
      <c r="AW154" s="67"/>
      <c r="BB154" s="67"/>
      <c r="BC154" s="67"/>
      <c r="BE154" s="67"/>
      <c r="BF154" s="67"/>
      <c r="BG154" s="67"/>
      <c r="BH154" s="67"/>
      <c r="BI154" s="67"/>
      <c r="BJ154" s="67"/>
      <c r="BK154" s="67"/>
      <c r="BL154" s="67"/>
    </row>
    <row r="155" spans="1:65" ht="19.899999999999999" customHeight="1" x14ac:dyDescent="0.2">
      <c r="A155" s="92" t="s">
        <v>508</v>
      </c>
      <c r="B155" s="92" t="s">
        <v>766</v>
      </c>
      <c r="C155" s="56"/>
      <c r="E155" s="56"/>
      <c r="J155" s="54"/>
      <c r="K155" s="54"/>
      <c r="L155" s="54"/>
      <c r="M155" s="54"/>
      <c r="N155" s="56"/>
      <c r="O155" s="56"/>
      <c r="P155" s="56"/>
      <c r="Q155" s="56"/>
      <c r="R155" s="54"/>
      <c r="S155" s="54"/>
      <c r="T155" s="54"/>
      <c r="U155" s="54"/>
      <c r="V155" s="65"/>
      <c r="W155" s="54"/>
      <c r="X155" s="66"/>
      <c r="Y155" s="66"/>
      <c r="Z155" s="66"/>
      <c r="AA155" s="66"/>
      <c r="AB155" s="66"/>
      <c r="AC155" s="56"/>
      <c r="AD155" s="110"/>
      <c r="AE155" s="66"/>
      <c r="AF155" s="66"/>
      <c r="AG155" s="66"/>
      <c r="AH155" s="66"/>
      <c r="AI155" s="66"/>
      <c r="AJ155" s="66"/>
      <c r="AK155" s="66"/>
      <c r="AL155" s="66"/>
      <c r="AM155" s="66"/>
      <c r="AN155" s="66"/>
      <c r="AO155" s="66"/>
      <c r="AP155" s="66"/>
      <c r="AQ155" s="66"/>
      <c r="AR155" s="66"/>
      <c r="AS155" s="56"/>
      <c r="AT155" s="56"/>
      <c r="AU155" s="56"/>
      <c r="AV155" s="66"/>
      <c r="AW155" s="66"/>
      <c r="AX155" s="66"/>
      <c r="AY155" s="66"/>
      <c r="AZ155" s="66"/>
      <c r="BA155" s="66"/>
      <c r="BB155" s="66"/>
      <c r="BC155" s="66"/>
      <c r="BD155" s="66"/>
      <c r="BE155" s="66"/>
      <c r="BF155" s="66"/>
      <c r="BG155" s="66"/>
      <c r="BH155" s="66"/>
      <c r="BI155" s="66"/>
      <c r="BJ155" s="66"/>
      <c r="BK155" s="66"/>
      <c r="BL155" s="66"/>
    </row>
    <row r="156" spans="1:65" x14ac:dyDescent="0.2">
      <c r="A156" s="56"/>
      <c r="B156" s="56"/>
      <c r="C156" s="56"/>
      <c r="E156" s="56"/>
      <c r="J156" s="54"/>
      <c r="K156" s="54"/>
      <c r="L156" s="54"/>
      <c r="M156" s="54"/>
      <c r="N156" s="56"/>
      <c r="O156" s="56"/>
      <c r="P156" s="56"/>
      <c r="Q156" s="56"/>
      <c r="R156" s="54"/>
      <c r="S156" s="54"/>
      <c r="T156" s="54"/>
      <c r="U156" s="54"/>
      <c r="V156" s="65"/>
      <c r="W156" s="54"/>
      <c r="X156" s="66"/>
      <c r="Y156" s="66"/>
      <c r="Z156" s="66"/>
      <c r="AA156" s="66"/>
      <c r="AB156" s="66"/>
      <c r="AC156" s="56"/>
      <c r="AD156" s="110"/>
      <c r="AE156" s="66"/>
      <c r="AF156" s="66"/>
      <c r="AG156" s="66"/>
      <c r="AH156" s="66"/>
      <c r="AI156" s="66"/>
      <c r="AJ156" s="66"/>
      <c r="AK156" s="66"/>
      <c r="AL156" s="66"/>
      <c r="AM156" s="66"/>
      <c r="AN156" s="66"/>
      <c r="AO156" s="66"/>
      <c r="AP156" s="66"/>
      <c r="AQ156" s="66"/>
      <c r="AR156" s="66"/>
      <c r="AS156" s="56"/>
      <c r="AT156" s="56"/>
      <c r="AU156" s="56"/>
      <c r="AV156" s="66"/>
      <c r="AW156" s="66"/>
      <c r="AX156" s="66"/>
      <c r="AY156" s="66"/>
      <c r="AZ156" s="66"/>
      <c r="BA156" s="66"/>
      <c r="BB156" s="66"/>
      <c r="BC156" s="66"/>
      <c r="BD156" s="66"/>
      <c r="BE156" s="66"/>
      <c r="BF156" s="66"/>
      <c r="BG156" s="66"/>
      <c r="BH156" s="66"/>
      <c r="BI156" s="66"/>
      <c r="BJ156" s="66"/>
      <c r="BK156" s="66"/>
      <c r="BL156" s="66"/>
    </row>
    <row r="157" spans="1:65" s="165" customFormat="1" x14ac:dyDescent="0.2">
      <c r="A157" s="166"/>
      <c r="D157" s="167"/>
      <c r="E157" s="168"/>
      <c r="F157" s="169"/>
      <c r="G157" s="167"/>
      <c r="H157" s="169"/>
      <c r="I157" s="167"/>
      <c r="J157" s="167"/>
      <c r="K157" s="168"/>
      <c r="L157" s="168"/>
      <c r="M157" s="168"/>
      <c r="R157" s="168"/>
      <c r="S157" s="168"/>
      <c r="T157" s="170"/>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72"/>
      <c r="AU157" s="172"/>
      <c r="AV157" s="168"/>
      <c r="AW157" s="168"/>
      <c r="AX157" s="168"/>
      <c r="AY157" s="168"/>
      <c r="AZ157" s="168"/>
      <c r="BA157" s="168"/>
      <c r="BB157" s="168"/>
      <c r="BC157" s="168"/>
      <c r="BD157" s="168"/>
      <c r="BE157" s="168"/>
      <c r="BF157" s="168"/>
      <c r="BG157" s="168"/>
      <c r="BH157" s="168"/>
      <c r="BI157" s="168"/>
      <c r="BJ157" s="168"/>
      <c r="BK157" s="168"/>
      <c r="BL157" s="168"/>
      <c r="BM157" s="155"/>
    </row>
    <row r="158" spans="1:65" x14ac:dyDescent="0.2">
      <c r="J158" s="54"/>
      <c r="K158" s="93"/>
      <c r="L158" s="54"/>
      <c r="M158" s="54"/>
      <c r="R158" s="54"/>
      <c r="S158" s="94"/>
      <c r="T158" s="94"/>
      <c r="U158" s="94"/>
      <c r="V158" s="95"/>
      <c r="W158" s="94"/>
      <c r="X158" s="96"/>
      <c r="Y158" s="96"/>
      <c r="Z158" s="96"/>
      <c r="AA158" s="96"/>
      <c r="AB158" s="66"/>
      <c r="AD158" s="243"/>
      <c r="AE158" s="96"/>
      <c r="AF158" s="96"/>
      <c r="AG158" s="96"/>
      <c r="AH158" s="96"/>
      <c r="AI158" s="96"/>
      <c r="AJ158" s="66"/>
      <c r="AK158" s="66"/>
      <c r="AL158" s="66"/>
      <c r="AM158" s="66"/>
      <c r="AN158" s="96"/>
      <c r="AO158" s="96"/>
      <c r="AP158" s="66"/>
      <c r="AQ158" s="96"/>
      <c r="AR158" s="96"/>
      <c r="AV158" s="96"/>
      <c r="AW158" s="96"/>
      <c r="AX158" s="66"/>
      <c r="AY158" s="66"/>
      <c r="AZ158" s="66"/>
      <c r="BA158" s="66"/>
      <c r="BB158" s="96"/>
      <c r="BC158" s="96"/>
      <c r="BD158" s="66"/>
      <c r="BE158" s="96"/>
      <c r="BF158" s="96"/>
      <c r="BG158" s="96"/>
      <c r="BH158" s="96"/>
      <c r="BI158" s="96"/>
      <c r="BJ158" s="96"/>
      <c r="BK158" s="96"/>
      <c r="BL158" s="96"/>
    </row>
    <row r="159" spans="1:65" x14ac:dyDescent="0.2">
      <c r="J159" s="54"/>
      <c r="K159" s="93"/>
      <c r="L159" s="54"/>
      <c r="M159" s="54"/>
      <c r="R159" s="54"/>
      <c r="S159" s="94"/>
      <c r="T159" s="94"/>
      <c r="U159" s="94"/>
      <c r="V159" s="95"/>
      <c r="W159" s="94"/>
      <c r="X159" s="96"/>
      <c r="Y159" s="96"/>
      <c r="Z159" s="96"/>
      <c r="AA159" s="96"/>
      <c r="AB159" s="66"/>
      <c r="AD159" s="243"/>
      <c r="AE159" s="96"/>
      <c r="AF159" s="96"/>
      <c r="AG159" s="96"/>
      <c r="AH159" s="96"/>
      <c r="AI159" s="96"/>
      <c r="AJ159" s="66"/>
      <c r="AK159" s="66"/>
      <c r="AL159" s="66"/>
      <c r="AM159" s="66"/>
      <c r="AN159" s="96"/>
      <c r="AO159" s="96"/>
      <c r="AP159" s="66"/>
      <c r="AQ159" s="96"/>
      <c r="AR159" s="96"/>
      <c r="AV159" s="96"/>
      <c r="AW159" s="96"/>
      <c r="AX159" s="66"/>
      <c r="AY159" s="66"/>
      <c r="AZ159" s="66"/>
      <c r="BA159" s="66"/>
      <c r="BB159" s="96"/>
      <c r="BC159" s="96"/>
      <c r="BD159" s="66"/>
      <c r="BE159" s="96"/>
      <c r="BF159" s="96"/>
      <c r="BG159" s="96"/>
      <c r="BH159" s="96"/>
      <c r="BI159" s="96"/>
      <c r="BJ159" s="96"/>
      <c r="BK159" s="96"/>
      <c r="BL159" s="96"/>
    </row>
    <row r="160" spans="1:65" ht="11.25" x14ac:dyDescent="0.2">
      <c r="J160" s="54"/>
      <c r="K160" s="93"/>
      <c r="L160" s="54"/>
      <c r="M160" s="54"/>
      <c r="R160" s="54"/>
      <c r="S160" s="94"/>
      <c r="T160" s="94"/>
      <c r="U160" s="94"/>
      <c r="V160" s="95"/>
      <c r="W160" s="94"/>
      <c r="X160" s="96"/>
      <c r="Y160" s="96"/>
      <c r="Z160" s="96"/>
      <c r="AA160" s="96"/>
      <c r="AB160" s="66"/>
      <c r="AD160" s="243"/>
      <c r="AE160" s="96"/>
      <c r="AF160" s="96"/>
      <c r="AG160" s="96"/>
      <c r="AH160" s="96"/>
      <c r="AI160" s="96"/>
      <c r="AJ160" s="66"/>
      <c r="AK160" s="66"/>
      <c r="AL160" s="66"/>
      <c r="AM160" s="66"/>
      <c r="AN160" s="96"/>
      <c r="AO160" s="96"/>
      <c r="AP160" s="66"/>
      <c r="AQ160" s="96"/>
      <c r="AR160" s="96"/>
      <c r="AV160" s="96"/>
      <c r="AW160" s="96"/>
      <c r="AX160" s="66"/>
      <c r="AY160" s="66"/>
      <c r="AZ160" s="66"/>
      <c r="BA160" s="66"/>
      <c r="BB160" s="96"/>
      <c r="BC160" s="96"/>
      <c r="BD160" s="66"/>
      <c r="BE160" s="96"/>
      <c r="BF160" s="96"/>
      <c r="BG160" s="96"/>
      <c r="BH160" s="96"/>
      <c r="BI160" s="96"/>
      <c r="BJ160" s="96"/>
      <c r="BK160" s="96"/>
      <c r="BL160" s="96"/>
      <c r="BM160" s="57"/>
    </row>
    <row r="161" spans="1:65" ht="11.25" x14ac:dyDescent="0.2">
      <c r="J161" s="54"/>
      <c r="K161" s="93"/>
      <c r="L161" s="54"/>
      <c r="M161" s="54"/>
      <c r="R161" s="54"/>
      <c r="S161" s="94"/>
      <c r="T161" s="94"/>
      <c r="U161" s="94"/>
      <c r="V161" s="95"/>
      <c r="W161" s="94"/>
      <c r="X161" s="96"/>
      <c r="Y161" s="96"/>
      <c r="Z161" s="96"/>
      <c r="AA161" s="96"/>
      <c r="AB161" s="66"/>
      <c r="AD161" s="243"/>
      <c r="AE161" s="96"/>
      <c r="AF161" s="96"/>
      <c r="AG161" s="96"/>
      <c r="AH161" s="96"/>
      <c r="AI161" s="96"/>
      <c r="AJ161" s="66"/>
      <c r="AK161" s="66"/>
      <c r="AL161" s="66"/>
      <c r="AM161" s="66"/>
      <c r="AN161" s="96"/>
      <c r="AO161" s="96"/>
      <c r="AP161" s="66"/>
      <c r="AQ161" s="96"/>
      <c r="AR161" s="96"/>
      <c r="AV161" s="96"/>
      <c r="AW161" s="96"/>
      <c r="AX161" s="66"/>
      <c r="AY161" s="66"/>
      <c r="AZ161" s="66"/>
      <c r="BA161" s="66"/>
      <c r="BB161" s="96"/>
      <c r="BC161" s="96"/>
      <c r="BD161" s="66"/>
      <c r="BE161" s="96"/>
      <c r="BF161" s="96"/>
      <c r="BG161" s="96"/>
      <c r="BH161" s="96"/>
      <c r="BI161" s="96"/>
      <c r="BJ161" s="96"/>
      <c r="BK161" s="96"/>
      <c r="BL161" s="96"/>
      <c r="BM161" s="57"/>
    </row>
    <row r="162" spans="1:65" ht="11.25" x14ac:dyDescent="0.2">
      <c r="J162" s="54"/>
      <c r="K162" s="93"/>
      <c r="L162" s="54"/>
      <c r="M162" s="54"/>
      <c r="R162" s="54"/>
      <c r="S162" s="94"/>
      <c r="T162" s="94"/>
      <c r="U162" s="94"/>
      <c r="V162" s="95"/>
      <c r="W162" s="94"/>
      <c r="X162" s="96"/>
      <c r="Y162" s="96"/>
      <c r="Z162" s="96"/>
      <c r="AA162" s="96"/>
      <c r="AB162" s="66"/>
      <c r="AD162" s="243"/>
      <c r="AE162" s="96"/>
      <c r="AF162" s="96"/>
      <c r="AG162" s="96"/>
      <c r="AH162" s="96"/>
      <c r="AI162" s="96"/>
      <c r="AJ162" s="66"/>
      <c r="AK162" s="66"/>
      <c r="AL162" s="66"/>
      <c r="AM162" s="66"/>
      <c r="AN162" s="96"/>
      <c r="AO162" s="96"/>
      <c r="AP162" s="66"/>
      <c r="AQ162" s="96"/>
      <c r="AR162" s="96"/>
      <c r="AV162" s="96"/>
      <c r="AW162" s="96"/>
      <c r="AX162" s="66"/>
      <c r="AY162" s="66"/>
      <c r="AZ162" s="66"/>
      <c r="BA162" s="66"/>
      <c r="BB162" s="96"/>
      <c r="BC162" s="96"/>
      <c r="BD162" s="66"/>
      <c r="BE162" s="96"/>
      <c r="BF162" s="96"/>
      <c r="BG162" s="96"/>
      <c r="BH162" s="96"/>
      <c r="BI162" s="96"/>
      <c r="BJ162" s="96"/>
      <c r="BK162" s="96"/>
      <c r="BL162" s="96"/>
      <c r="BM162" s="57"/>
    </row>
    <row r="163" spans="1:65" ht="11.25" x14ac:dyDescent="0.2">
      <c r="A163" s="57"/>
      <c r="B163" s="57"/>
      <c r="C163" s="57"/>
      <c r="D163" s="57"/>
      <c r="E163" s="57"/>
      <c r="F163" s="57"/>
      <c r="G163" s="57"/>
      <c r="H163" s="57"/>
      <c r="I163" s="57"/>
      <c r="J163" s="54"/>
      <c r="K163" s="93"/>
      <c r="L163" s="54"/>
      <c r="M163" s="54"/>
      <c r="R163" s="54"/>
      <c r="S163" s="94"/>
      <c r="T163" s="94"/>
      <c r="U163" s="94"/>
      <c r="V163" s="95"/>
      <c r="W163" s="94"/>
      <c r="X163" s="96"/>
      <c r="Y163" s="96"/>
      <c r="Z163" s="96"/>
      <c r="AA163" s="96"/>
      <c r="AB163" s="66"/>
      <c r="AD163" s="243"/>
      <c r="AE163" s="96"/>
      <c r="AF163" s="96"/>
      <c r="AG163" s="96"/>
      <c r="AH163" s="96"/>
      <c r="AI163" s="96"/>
      <c r="AJ163" s="66"/>
      <c r="AK163" s="66"/>
      <c r="AL163" s="66"/>
      <c r="AM163" s="66"/>
      <c r="AN163" s="96"/>
      <c r="AO163" s="96"/>
      <c r="AP163" s="66"/>
      <c r="AQ163" s="96"/>
      <c r="AR163" s="96"/>
      <c r="AS163" s="57"/>
      <c r="AU163" s="57"/>
      <c r="AV163" s="96"/>
      <c r="AW163" s="96"/>
      <c r="AX163" s="66"/>
      <c r="AY163" s="66"/>
      <c r="AZ163" s="66"/>
      <c r="BA163" s="66"/>
      <c r="BB163" s="96"/>
      <c r="BC163" s="96"/>
      <c r="BD163" s="66"/>
      <c r="BE163" s="96"/>
      <c r="BF163" s="96"/>
      <c r="BG163" s="96"/>
      <c r="BH163" s="96"/>
      <c r="BI163" s="96"/>
      <c r="BJ163" s="96"/>
      <c r="BK163" s="96"/>
      <c r="BL163" s="96"/>
      <c r="BM163" s="57"/>
    </row>
    <row r="164" spans="1:65" ht="11.25" x14ac:dyDescent="0.2">
      <c r="A164" s="57"/>
      <c r="B164" s="57"/>
      <c r="C164" s="57"/>
      <c r="D164" s="57"/>
      <c r="E164" s="57"/>
      <c r="F164" s="57"/>
      <c r="G164" s="57"/>
      <c r="H164" s="57"/>
      <c r="I164" s="57"/>
      <c r="J164" s="54"/>
      <c r="K164" s="93"/>
      <c r="L164" s="54"/>
      <c r="M164" s="54"/>
      <c r="R164" s="54"/>
      <c r="S164" s="94"/>
      <c r="T164" s="94"/>
      <c r="U164" s="94"/>
      <c r="V164" s="95"/>
      <c r="W164" s="94"/>
      <c r="X164" s="96"/>
      <c r="Y164" s="96"/>
      <c r="Z164" s="96"/>
      <c r="AA164" s="96"/>
      <c r="AB164" s="66"/>
      <c r="AD164" s="243"/>
      <c r="AE164" s="96"/>
      <c r="AF164" s="96"/>
      <c r="AG164" s="96"/>
      <c r="AH164" s="96"/>
      <c r="AI164" s="96"/>
      <c r="AJ164" s="66"/>
      <c r="AK164" s="66"/>
      <c r="AL164" s="66"/>
      <c r="AM164" s="66"/>
      <c r="AN164" s="96"/>
      <c r="AO164" s="96"/>
      <c r="AP164" s="66"/>
      <c r="AQ164" s="96"/>
      <c r="AR164" s="96"/>
      <c r="AS164" s="57"/>
      <c r="AU164" s="57"/>
      <c r="AV164" s="96"/>
      <c r="AW164" s="96"/>
      <c r="AX164" s="66"/>
      <c r="AY164" s="66"/>
      <c r="AZ164" s="66"/>
      <c r="BA164" s="66"/>
      <c r="BB164" s="96"/>
      <c r="BC164" s="96"/>
      <c r="BD164" s="66"/>
      <c r="BE164" s="96"/>
      <c r="BF164" s="96"/>
      <c r="BG164" s="96"/>
      <c r="BH164" s="96"/>
      <c r="BI164" s="96"/>
      <c r="BJ164" s="96"/>
      <c r="BK164" s="96"/>
      <c r="BL164" s="96"/>
      <c r="BM164" s="57"/>
    </row>
    <row r="165" spans="1:65" ht="11.25" x14ac:dyDescent="0.2">
      <c r="A165" s="57"/>
      <c r="B165" s="57"/>
      <c r="C165" s="57"/>
      <c r="D165" s="57"/>
      <c r="E165" s="57"/>
      <c r="F165" s="57"/>
      <c r="G165" s="57"/>
      <c r="H165" s="57"/>
      <c r="I165" s="57"/>
      <c r="J165" s="54"/>
      <c r="K165" s="93"/>
      <c r="L165" s="54"/>
      <c r="M165" s="54"/>
      <c r="R165" s="54"/>
      <c r="S165" s="94"/>
      <c r="T165" s="94"/>
      <c r="U165" s="94"/>
      <c r="V165" s="95"/>
      <c r="W165" s="94"/>
      <c r="X165" s="96"/>
      <c r="Y165" s="96"/>
      <c r="Z165" s="96"/>
      <c r="AA165" s="96"/>
      <c r="AB165" s="66"/>
      <c r="AD165" s="243"/>
      <c r="AE165" s="96"/>
      <c r="AF165" s="96"/>
      <c r="AG165" s="96"/>
      <c r="AH165" s="96"/>
      <c r="AI165" s="96"/>
      <c r="AJ165" s="66"/>
      <c r="AK165" s="66"/>
      <c r="AL165" s="66"/>
      <c r="AM165" s="66"/>
      <c r="AN165" s="96"/>
      <c r="AO165" s="96"/>
      <c r="AP165" s="66"/>
      <c r="AQ165" s="96"/>
      <c r="AR165" s="96"/>
      <c r="AS165" s="57"/>
      <c r="AU165" s="57"/>
      <c r="AV165" s="96"/>
      <c r="AW165" s="96"/>
      <c r="AX165" s="66"/>
      <c r="AY165" s="66"/>
      <c r="AZ165" s="66"/>
      <c r="BA165" s="66"/>
      <c r="BB165" s="96"/>
      <c r="BC165" s="96"/>
      <c r="BD165" s="66"/>
      <c r="BE165" s="96"/>
      <c r="BF165" s="96"/>
      <c r="BG165" s="96"/>
      <c r="BH165" s="96"/>
      <c r="BI165" s="96"/>
      <c r="BJ165" s="96"/>
      <c r="BK165" s="96"/>
      <c r="BL165" s="96"/>
      <c r="BM165" s="57"/>
    </row>
    <row r="166" spans="1:65" ht="11.25" x14ac:dyDescent="0.2">
      <c r="A166" s="57"/>
      <c r="B166" s="57"/>
      <c r="C166" s="57"/>
      <c r="D166" s="57"/>
      <c r="E166" s="57"/>
      <c r="F166" s="57"/>
      <c r="G166" s="57"/>
      <c r="H166" s="57"/>
      <c r="I166" s="57"/>
      <c r="J166" s="54"/>
      <c r="K166" s="93"/>
      <c r="L166" s="54"/>
      <c r="M166" s="54"/>
      <c r="R166" s="54"/>
      <c r="S166" s="94"/>
      <c r="T166" s="94"/>
      <c r="U166" s="94"/>
      <c r="V166" s="95"/>
      <c r="W166" s="94"/>
      <c r="X166" s="96"/>
      <c r="Y166" s="96"/>
      <c r="Z166" s="96"/>
      <c r="AA166" s="96"/>
      <c r="AB166" s="66"/>
      <c r="AD166" s="243"/>
      <c r="AE166" s="96"/>
      <c r="AF166" s="96"/>
      <c r="AG166" s="96"/>
      <c r="AH166" s="96"/>
      <c r="AI166" s="96"/>
      <c r="AJ166" s="66"/>
      <c r="AK166" s="66"/>
      <c r="AL166" s="66"/>
      <c r="AM166" s="66"/>
      <c r="AN166" s="96"/>
      <c r="AO166" s="96"/>
      <c r="AP166" s="66"/>
      <c r="AQ166" s="96"/>
      <c r="AR166" s="96"/>
      <c r="AS166" s="57"/>
      <c r="AU166" s="57"/>
      <c r="AV166" s="96"/>
      <c r="AW166" s="96"/>
      <c r="AX166" s="66"/>
      <c r="AY166" s="66"/>
      <c r="AZ166" s="66"/>
      <c r="BA166" s="66"/>
      <c r="BB166" s="96"/>
      <c r="BC166" s="96"/>
      <c r="BD166" s="66"/>
      <c r="BE166" s="96"/>
      <c r="BF166" s="96"/>
      <c r="BG166" s="96"/>
      <c r="BH166" s="96"/>
      <c r="BI166" s="96"/>
      <c r="BJ166" s="96"/>
      <c r="BK166" s="96"/>
      <c r="BL166" s="96"/>
      <c r="BM166" s="57"/>
    </row>
    <row r="167" spans="1:65" ht="11.25" x14ac:dyDescent="0.2">
      <c r="A167" s="57"/>
      <c r="B167" s="57"/>
      <c r="C167" s="57"/>
      <c r="D167" s="57"/>
      <c r="E167" s="57"/>
      <c r="F167" s="57"/>
      <c r="G167" s="57"/>
      <c r="H167" s="57"/>
      <c r="I167" s="57"/>
      <c r="J167" s="54"/>
      <c r="K167" s="93"/>
      <c r="L167" s="54"/>
      <c r="M167" s="54"/>
      <c r="R167" s="54"/>
      <c r="S167" s="94"/>
      <c r="T167" s="94"/>
      <c r="U167" s="94"/>
      <c r="V167" s="95"/>
      <c r="W167" s="94"/>
      <c r="X167" s="96"/>
      <c r="Y167" s="96"/>
      <c r="Z167" s="96"/>
      <c r="AA167" s="96"/>
      <c r="AB167" s="66"/>
      <c r="AD167" s="243"/>
      <c r="AE167" s="96"/>
      <c r="AF167" s="96"/>
      <c r="AG167" s="96"/>
      <c r="AH167" s="96"/>
      <c r="AI167" s="96"/>
      <c r="AJ167" s="66"/>
      <c r="AK167" s="66"/>
      <c r="AL167" s="66"/>
      <c r="AM167" s="66"/>
      <c r="AN167" s="96"/>
      <c r="AO167" s="96"/>
      <c r="AP167" s="66"/>
      <c r="AQ167" s="96"/>
      <c r="AR167" s="96"/>
      <c r="AS167" s="57"/>
      <c r="AU167" s="57"/>
      <c r="AV167" s="96"/>
      <c r="AW167" s="96"/>
      <c r="AX167" s="66"/>
      <c r="AY167" s="66"/>
      <c r="AZ167" s="66"/>
      <c r="BA167" s="66"/>
      <c r="BB167" s="96"/>
      <c r="BC167" s="96"/>
      <c r="BD167" s="66"/>
      <c r="BE167" s="96"/>
      <c r="BF167" s="96"/>
      <c r="BG167" s="96"/>
      <c r="BH167" s="96"/>
      <c r="BI167" s="96"/>
      <c r="BJ167" s="96"/>
      <c r="BK167" s="96"/>
      <c r="BL167" s="96"/>
      <c r="BM167" s="57"/>
    </row>
    <row r="168" spans="1:65" ht="11.25" x14ac:dyDescent="0.2">
      <c r="A168" s="57"/>
      <c r="B168" s="57"/>
      <c r="C168" s="57"/>
      <c r="D168" s="57"/>
      <c r="E168" s="57"/>
      <c r="F168" s="57"/>
      <c r="G168" s="57"/>
      <c r="H168" s="57"/>
      <c r="I168" s="57"/>
      <c r="J168" s="54"/>
      <c r="K168" s="93"/>
      <c r="L168" s="54"/>
      <c r="M168" s="54"/>
      <c r="R168" s="54"/>
      <c r="S168" s="94"/>
      <c r="T168" s="94"/>
      <c r="U168" s="94"/>
      <c r="V168" s="95"/>
      <c r="W168" s="94"/>
      <c r="X168" s="96"/>
      <c r="Y168" s="96"/>
      <c r="Z168" s="96"/>
      <c r="AA168" s="96"/>
      <c r="AB168" s="66"/>
      <c r="AD168" s="243"/>
      <c r="AE168" s="96"/>
      <c r="AF168" s="96"/>
      <c r="AG168" s="96"/>
      <c r="AH168" s="96"/>
      <c r="AI168" s="96"/>
      <c r="AJ168" s="66"/>
      <c r="AK168" s="66"/>
      <c r="AL168" s="66"/>
      <c r="AM168" s="66"/>
      <c r="AN168" s="96"/>
      <c r="AO168" s="96"/>
      <c r="AP168" s="66"/>
      <c r="AQ168" s="96"/>
      <c r="AR168" s="96"/>
      <c r="AS168" s="57"/>
      <c r="AU168" s="57"/>
      <c r="AV168" s="96"/>
      <c r="AW168" s="96"/>
      <c r="AX168" s="66"/>
      <c r="AY168" s="66"/>
      <c r="AZ168" s="66"/>
      <c r="BA168" s="66"/>
      <c r="BB168" s="96"/>
      <c r="BC168" s="96"/>
      <c r="BD168" s="66"/>
      <c r="BE168" s="96"/>
      <c r="BF168" s="96"/>
      <c r="BG168" s="96"/>
      <c r="BH168" s="96"/>
      <c r="BI168" s="96"/>
      <c r="BJ168" s="96"/>
      <c r="BK168" s="96"/>
      <c r="BL168" s="96"/>
      <c r="BM168" s="57"/>
    </row>
    <row r="169" spans="1:65" ht="11.25" x14ac:dyDescent="0.2">
      <c r="A169" s="57"/>
      <c r="B169" s="57"/>
      <c r="C169" s="57"/>
      <c r="D169" s="57"/>
      <c r="E169" s="57"/>
      <c r="F169" s="57"/>
      <c r="G169" s="57"/>
      <c r="H169" s="57"/>
      <c r="I169" s="57"/>
      <c r="J169" s="54"/>
      <c r="K169" s="93"/>
      <c r="L169" s="54"/>
      <c r="M169" s="54"/>
      <c r="R169" s="54"/>
      <c r="S169" s="94"/>
      <c r="T169" s="94"/>
      <c r="U169" s="94"/>
      <c r="V169" s="95"/>
      <c r="W169" s="94"/>
      <c r="X169" s="96"/>
      <c r="Y169" s="96"/>
      <c r="Z169" s="96"/>
      <c r="AA169" s="96"/>
      <c r="AB169" s="66"/>
      <c r="AD169" s="243"/>
      <c r="AE169" s="96"/>
      <c r="AF169" s="96"/>
      <c r="AG169" s="96"/>
      <c r="AH169" s="96"/>
      <c r="AI169" s="96"/>
      <c r="AJ169" s="66"/>
      <c r="AK169" s="66"/>
      <c r="AL169" s="66"/>
      <c r="AM169" s="66"/>
      <c r="AN169" s="96"/>
      <c r="AO169" s="96"/>
      <c r="AP169" s="66"/>
      <c r="AQ169" s="96"/>
      <c r="AR169" s="96"/>
      <c r="AS169" s="57"/>
      <c r="AU169" s="57"/>
      <c r="AV169" s="96"/>
      <c r="AW169" s="96"/>
      <c r="AX169" s="66"/>
      <c r="AY169" s="66"/>
      <c r="AZ169" s="66"/>
      <c r="BA169" s="66"/>
      <c r="BB169" s="96"/>
      <c r="BC169" s="96"/>
      <c r="BD169" s="66"/>
      <c r="BE169" s="96"/>
      <c r="BF169" s="96"/>
      <c r="BG169" s="96"/>
      <c r="BH169" s="96"/>
      <c r="BI169" s="96"/>
      <c r="BJ169" s="96"/>
      <c r="BK169" s="96"/>
      <c r="BL169" s="96"/>
      <c r="BM169" s="57"/>
    </row>
    <row r="170" spans="1:65" ht="11.25" x14ac:dyDescent="0.2">
      <c r="A170" s="57"/>
      <c r="B170" s="57"/>
      <c r="C170" s="57"/>
      <c r="D170" s="57"/>
      <c r="E170" s="57"/>
      <c r="F170" s="57"/>
      <c r="G170" s="57"/>
      <c r="H170" s="57"/>
      <c r="I170" s="57"/>
      <c r="J170" s="54"/>
      <c r="K170" s="93"/>
      <c r="L170" s="54"/>
      <c r="M170" s="54"/>
      <c r="R170" s="54"/>
      <c r="S170" s="94"/>
      <c r="T170" s="94"/>
      <c r="U170" s="94"/>
      <c r="V170" s="95"/>
      <c r="W170" s="94"/>
      <c r="X170" s="96"/>
      <c r="Y170" s="96"/>
      <c r="Z170" s="96"/>
      <c r="AA170" s="96"/>
      <c r="AB170" s="66"/>
      <c r="AD170" s="243"/>
      <c r="AE170" s="96"/>
      <c r="AF170" s="96"/>
      <c r="AG170" s="96"/>
      <c r="AH170" s="96"/>
      <c r="AI170" s="96"/>
      <c r="AJ170" s="66"/>
      <c r="AK170" s="66"/>
      <c r="AL170" s="66"/>
      <c r="AM170" s="66"/>
      <c r="AN170" s="96"/>
      <c r="AO170" s="96"/>
      <c r="AP170" s="66"/>
      <c r="AQ170" s="96"/>
      <c r="AR170" s="96"/>
      <c r="AS170" s="57"/>
      <c r="AU170" s="57"/>
      <c r="AV170" s="96"/>
      <c r="AW170" s="96"/>
      <c r="AX170" s="66"/>
      <c r="AY170" s="66"/>
      <c r="AZ170" s="66"/>
      <c r="BA170" s="66"/>
      <c r="BB170" s="96"/>
      <c r="BC170" s="96"/>
      <c r="BD170" s="66"/>
      <c r="BE170" s="96"/>
      <c r="BF170" s="96"/>
      <c r="BG170" s="96"/>
      <c r="BH170" s="96"/>
      <c r="BI170" s="96"/>
      <c r="BJ170" s="96"/>
      <c r="BK170" s="96"/>
      <c r="BL170" s="96"/>
      <c r="BM170" s="57"/>
    </row>
    <row r="171" spans="1:65" ht="11.25" x14ac:dyDescent="0.2">
      <c r="A171" s="57"/>
      <c r="B171" s="57"/>
      <c r="C171" s="57"/>
      <c r="D171" s="57"/>
      <c r="E171" s="57"/>
      <c r="F171" s="57"/>
      <c r="G171" s="57"/>
      <c r="H171" s="57"/>
      <c r="I171" s="57"/>
      <c r="J171" s="54"/>
      <c r="K171" s="93"/>
      <c r="L171" s="54"/>
      <c r="M171" s="54"/>
      <c r="R171" s="54"/>
      <c r="S171" s="94"/>
      <c r="T171" s="94"/>
      <c r="U171" s="94"/>
      <c r="V171" s="95"/>
      <c r="W171" s="94"/>
      <c r="X171" s="96"/>
      <c r="Y171" s="96"/>
      <c r="Z171" s="96"/>
      <c r="AA171" s="96"/>
      <c r="AB171" s="66"/>
      <c r="AD171" s="243"/>
      <c r="AE171" s="96"/>
      <c r="AF171" s="96"/>
      <c r="AG171" s="96"/>
      <c r="AH171" s="96"/>
      <c r="AI171" s="96"/>
      <c r="AJ171" s="66"/>
      <c r="AK171" s="66"/>
      <c r="AL171" s="66"/>
      <c r="AM171" s="66"/>
      <c r="AN171" s="96"/>
      <c r="AO171" s="96"/>
      <c r="AP171" s="66"/>
      <c r="AQ171" s="96"/>
      <c r="AR171" s="96"/>
      <c r="AS171" s="57"/>
      <c r="AU171" s="57"/>
      <c r="AV171" s="96"/>
      <c r="AW171" s="96"/>
      <c r="AX171" s="66"/>
      <c r="AY171" s="66"/>
      <c r="AZ171" s="66"/>
      <c r="BA171" s="66"/>
      <c r="BB171" s="96"/>
      <c r="BC171" s="96"/>
      <c r="BD171" s="66"/>
      <c r="BE171" s="96"/>
      <c r="BF171" s="96"/>
      <c r="BG171" s="96"/>
      <c r="BH171" s="96"/>
      <c r="BI171" s="96"/>
      <c r="BJ171" s="96"/>
      <c r="BK171" s="96"/>
      <c r="BL171" s="96"/>
      <c r="BM171" s="57"/>
    </row>
    <row r="172" spans="1:65" ht="11.25" x14ac:dyDescent="0.2">
      <c r="A172" s="57"/>
      <c r="B172" s="57"/>
      <c r="C172" s="57"/>
      <c r="D172" s="57"/>
      <c r="E172" s="57"/>
      <c r="F172" s="57"/>
      <c r="G172" s="57"/>
      <c r="H172" s="57"/>
      <c r="I172" s="57"/>
      <c r="J172" s="54"/>
      <c r="K172" s="93"/>
      <c r="L172" s="54"/>
      <c r="M172" s="54"/>
      <c r="R172" s="54"/>
      <c r="S172" s="94"/>
      <c r="T172" s="94"/>
      <c r="U172" s="94"/>
      <c r="V172" s="95"/>
      <c r="W172" s="94"/>
      <c r="X172" s="96"/>
      <c r="Y172" s="96"/>
      <c r="Z172" s="96"/>
      <c r="AA172" s="96"/>
      <c r="AB172" s="66"/>
      <c r="AD172" s="243"/>
      <c r="AE172" s="96"/>
      <c r="AF172" s="96"/>
      <c r="AG172" s="96"/>
      <c r="AH172" s="96"/>
      <c r="AI172" s="96"/>
      <c r="AJ172" s="66"/>
      <c r="AK172" s="66"/>
      <c r="AL172" s="66"/>
      <c r="AM172" s="66"/>
      <c r="AN172" s="96"/>
      <c r="AO172" s="96"/>
      <c r="AP172" s="66"/>
      <c r="AQ172" s="96"/>
      <c r="AR172" s="96"/>
      <c r="AS172" s="57"/>
      <c r="AU172" s="57"/>
      <c r="AV172" s="96"/>
      <c r="AW172" s="96"/>
      <c r="AX172" s="66"/>
      <c r="AY172" s="66"/>
      <c r="AZ172" s="66"/>
      <c r="BA172" s="66"/>
      <c r="BB172" s="96"/>
      <c r="BC172" s="96"/>
      <c r="BD172" s="66"/>
      <c r="BE172" s="96"/>
      <c r="BF172" s="96"/>
      <c r="BG172" s="96"/>
      <c r="BH172" s="96"/>
      <c r="BI172" s="96"/>
      <c r="BJ172" s="96"/>
      <c r="BK172" s="96"/>
      <c r="BL172" s="96"/>
      <c r="BM172" s="57"/>
    </row>
    <row r="173" spans="1:65" ht="11.25" x14ac:dyDescent="0.2">
      <c r="A173" s="57"/>
      <c r="B173" s="57"/>
      <c r="C173" s="57"/>
      <c r="D173" s="57"/>
      <c r="E173" s="57"/>
      <c r="F173" s="57"/>
      <c r="G173" s="57"/>
      <c r="H173" s="57"/>
      <c r="I173" s="57"/>
      <c r="J173" s="54"/>
      <c r="K173" s="93"/>
      <c r="L173" s="54"/>
      <c r="M173" s="54"/>
      <c r="R173" s="54"/>
      <c r="S173" s="94"/>
      <c r="T173" s="94"/>
      <c r="U173" s="94"/>
      <c r="V173" s="95"/>
      <c r="W173" s="94"/>
      <c r="X173" s="96"/>
      <c r="Y173" s="96"/>
      <c r="Z173" s="96"/>
      <c r="AA173" s="96"/>
      <c r="AB173" s="66"/>
      <c r="AD173" s="243"/>
      <c r="AE173" s="96"/>
      <c r="AF173" s="96"/>
      <c r="AG173" s="96"/>
      <c r="AH173" s="96"/>
      <c r="AI173" s="96"/>
      <c r="AJ173" s="66"/>
      <c r="AK173" s="66"/>
      <c r="AL173" s="66"/>
      <c r="AM173" s="66"/>
      <c r="AN173" s="96"/>
      <c r="AO173" s="96"/>
      <c r="AP173" s="66"/>
      <c r="AQ173" s="96"/>
      <c r="AR173" s="96"/>
      <c r="AS173" s="57"/>
      <c r="AU173" s="57"/>
      <c r="AV173" s="96"/>
      <c r="AW173" s="96"/>
      <c r="AX173" s="66"/>
      <c r="AY173" s="66"/>
      <c r="AZ173" s="66"/>
      <c r="BA173" s="66"/>
      <c r="BB173" s="96"/>
      <c r="BC173" s="96"/>
      <c r="BD173" s="66"/>
      <c r="BE173" s="96"/>
      <c r="BF173" s="96"/>
      <c r="BG173" s="96"/>
      <c r="BH173" s="96"/>
      <c r="BI173" s="96"/>
      <c r="BJ173" s="96"/>
      <c r="BK173" s="96"/>
      <c r="BL173" s="96"/>
      <c r="BM173" s="57"/>
    </row>
    <row r="174" spans="1:65" ht="11.25" x14ac:dyDescent="0.2">
      <c r="A174" s="57"/>
      <c r="B174" s="57"/>
      <c r="C174" s="57"/>
      <c r="D174" s="57"/>
      <c r="E174" s="57"/>
      <c r="F174" s="57"/>
      <c r="G174" s="57"/>
      <c r="H174" s="57"/>
      <c r="I174" s="57"/>
      <c r="Y174" s="98"/>
      <c r="AA174" s="98"/>
      <c r="AR174" s="98"/>
      <c r="AS174" s="57"/>
      <c r="AU174" s="57"/>
      <c r="BF174" s="98"/>
      <c r="BG174" s="98"/>
      <c r="BH174" s="98"/>
      <c r="BI174" s="98"/>
      <c r="BJ174" s="98"/>
      <c r="BK174" s="98"/>
      <c r="BL174" s="98"/>
      <c r="BM174" s="57"/>
    </row>
    <row r="175" spans="1:65" ht="11.25" x14ac:dyDescent="0.2">
      <c r="A175" s="57"/>
      <c r="B175" s="57"/>
      <c r="C175" s="57"/>
      <c r="D175" s="57"/>
      <c r="E175" s="57"/>
      <c r="F175" s="57"/>
      <c r="G175" s="57"/>
      <c r="H175" s="57"/>
      <c r="I175" s="57"/>
      <c r="Y175" s="98"/>
      <c r="AA175" s="98"/>
      <c r="AR175" s="98"/>
      <c r="AS175" s="57"/>
      <c r="AU175" s="57"/>
      <c r="BF175" s="98"/>
      <c r="BG175" s="98"/>
      <c r="BH175" s="98"/>
      <c r="BI175" s="98"/>
      <c r="BJ175" s="98"/>
      <c r="BK175" s="98"/>
      <c r="BL175" s="98"/>
      <c r="BM175" s="57"/>
    </row>
    <row r="176" spans="1:65" ht="11.25" x14ac:dyDescent="0.2">
      <c r="A176" s="57"/>
      <c r="B176" s="57"/>
      <c r="C176" s="57"/>
      <c r="D176" s="57"/>
      <c r="E176" s="57"/>
      <c r="F176" s="57"/>
      <c r="G176" s="57"/>
      <c r="H176" s="57"/>
      <c r="I176" s="57"/>
      <c r="Y176" s="98"/>
      <c r="AA176" s="98"/>
      <c r="AR176" s="98"/>
      <c r="AS176" s="57"/>
      <c r="AU176" s="57"/>
      <c r="BF176" s="98"/>
      <c r="BG176" s="98"/>
      <c r="BH176" s="98"/>
      <c r="BI176" s="98"/>
      <c r="BJ176" s="98"/>
      <c r="BK176" s="98"/>
      <c r="BL176" s="98"/>
      <c r="BM176" s="57"/>
    </row>
    <row r="177" spans="1:65" ht="11.25" x14ac:dyDescent="0.2">
      <c r="A177" s="57"/>
      <c r="B177" s="57"/>
      <c r="C177" s="57"/>
      <c r="D177" s="57"/>
      <c r="E177" s="57"/>
      <c r="F177" s="57"/>
      <c r="G177" s="57"/>
      <c r="H177" s="57"/>
      <c r="I177" s="57"/>
      <c r="Y177" s="98"/>
      <c r="AA177" s="98"/>
      <c r="AR177" s="98"/>
      <c r="AS177" s="57"/>
      <c r="AU177" s="57"/>
      <c r="BF177" s="98"/>
      <c r="BG177" s="98"/>
      <c r="BH177" s="98"/>
      <c r="BI177" s="98"/>
      <c r="BJ177" s="98"/>
      <c r="BK177" s="98"/>
      <c r="BL177" s="98"/>
      <c r="BM177" s="57"/>
    </row>
    <row r="178" spans="1:65" ht="11.25" x14ac:dyDescent="0.2">
      <c r="A178" s="57"/>
      <c r="B178" s="57"/>
      <c r="C178" s="57"/>
      <c r="D178" s="57"/>
      <c r="E178" s="57"/>
      <c r="F178" s="57"/>
      <c r="G178" s="57"/>
      <c r="H178" s="57"/>
      <c r="I178" s="57"/>
      <c r="Y178" s="98"/>
      <c r="AA178" s="98"/>
      <c r="AR178" s="98"/>
      <c r="AS178" s="57"/>
      <c r="AU178" s="57"/>
      <c r="BF178" s="98"/>
      <c r="BG178" s="98"/>
      <c r="BH178" s="98"/>
      <c r="BI178" s="98"/>
      <c r="BJ178" s="98"/>
      <c r="BK178" s="98"/>
      <c r="BL178" s="98"/>
      <c r="BM178" s="57"/>
    </row>
    <row r="179" spans="1:65" ht="11.25" x14ac:dyDescent="0.2">
      <c r="A179" s="57"/>
      <c r="B179" s="57"/>
      <c r="C179" s="57"/>
      <c r="D179" s="57"/>
      <c r="E179" s="57"/>
      <c r="F179" s="57"/>
      <c r="G179" s="57"/>
      <c r="H179" s="57"/>
      <c r="I179" s="57"/>
      <c r="J179" s="57"/>
      <c r="L179" s="57"/>
      <c r="M179" s="57"/>
      <c r="N179" s="57"/>
      <c r="O179" s="57"/>
      <c r="P179" s="57"/>
      <c r="Q179" s="57"/>
      <c r="R179" s="57"/>
      <c r="S179" s="57"/>
      <c r="T179" s="57"/>
      <c r="U179" s="57"/>
      <c r="V179" s="57"/>
      <c r="W179" s="57"/>
      <c r="X179" s="57"/>
      <c r="Y179" s="98"/>
      <c r="AA179" s="98"/>
      <c r="AR179" s="98"/>
      <c r="AS179" s="57"/>
      <c r="AU179" s="57"/>
      <c r="BF179" s="98"/>
      <c r="BG179" s="98"/>
      <c r="BH179" s="98"/>
      <c r="BI179" s="98"/>
      <c r="BJ179" s="98"/>
      <c r="BK179" s="98"/>
      <c r="BL179" s="98"/>
      <c r="BM179" s="57"/>
    </row>
    <row r="180" spans="1:65" ht="11.25" x14ac:dyDescent="0.2">
      <c r="A180" s="57"/>
      <c r="B180" s="57"/>
      <c r="C180" s="57"/>
      <c r="D180" s="57"/>
      <c r="E180" s="57"/>
      <c r="F180" s="57"/>
      <c r="G180" s="57"/>
      <c r="H180" s="57"/>
      <c r="I180" s="57"/>
      <c r="J180" s="57"/>
      <c r="L180" s="57"/>
      <c r="M180" s="57"/>
      <c r="N180" s="57"/>
      <c r="O180" s="57"/>
      <c r="P180" s="57"/>
      <c r="Q180" s="57"/>
      <c r="R180" s="57"/>
      <c r="S180" s="57"/>
      <c r="T180" s="57"/>
      <c r="U180" s="57"/>
      <c r="V180" s="57"/>
      <c r="W180" s="57"/>
      <c r="X180" s="57"/>
      <c r="Y180" s="98"/>
      <c r="AA180" s="98"/>
      <c r="AR180" s="98"/>
      <c r="AS180" s="57"/>
      <c r="AU180" s="57"/>
      <c r="BF180" s="98"/>
      <c r="BG180" s="98"/>
      <c r="BH180" s="98"/>
      <c r="BI180" s="98"/>
      <c r="BJ180" s="98"/>
      <c r="BK180" s="98"/>
      <c r="BL180" s="98"/>
      <c r="BM180" s="57"/>
    </row>
    <row r="181" spans="1:65" ht="11.25" x14ac:dyDescent="0.2">
      <c r="A181" s="57"/>
      <c r="B181" s="57"/>
      <c r="C181" s="57"/>
      <c r="D181" s="57"/>
      <c r="E181" s="57"/>
      <c r="F181" s="57"/>
      <c r="G181" s="57"/>
      <c r="H181" s="57"/>
      <c r="I181" s="57"/>
      <c r="J181" s="57"/>
      <c r="L181" s="57"/>
      <c r="M181" s="57"/>
      <c r="N181" s="57"/>
      <c r="O181" s="57"/>
      <c r="P181" s="57"/>
      <c r="Q181" s="57"/>
      <c r="R181" s="57"/>
      <c r="S181" s="57"/>
      <c r="T181" s="57"/>
      <c r="U181" s="57"/>
      <c r="V181" s="57"/>
      <c r="W181" s="57"/>
      <c r="X181" s="57"/>
      <c r="Y181" s="98"/>
      <c r="AA181" s="98"/>
      <c r="AR181" s="98"/>
      <c r="AS181" s="57"/>
      <c r="AU181" s="57"/>
      <c r="BF181" s="98"/>
      <c r="BG181" s="98"/>
      <c r="BH181" s="98"/>
      <c r="BI181" s="98"/>
      <c r="BJ181" s="98"/>
      <c r="BK181" s="98"/>
      <c r="BL181" s="98"/>
      <c r="BM181" s="57"/>
    </row>
    <row r="182" spans="1:65" ht="11.25" x14ac:dyDescent="0.2">
      <c r="A182" s="57"/>
      <c r="B182" s="57"/>
      <c r="C182" s="57"/>
      <c r="D182" s="57"/>
      <c r="E182" s="57"/>
      <c r="F182" s="57"/>
      <c r="G182" s="57"/>
      <c r="H182" s="57"/>
      <c r="I182" s="57"/>
      <c r="J182" s="57"/>
      <c r="L182" s="57"/>
      <c r="M182" s="57"/>
      <c r="N182" s="57"/>
      <c r="O182" s="57"/>
      <c r="P182" s="57"/>
      <c r="Q182" s="57"/>
      <c r="R182" s="57"/>
      <c r="S182" s="57"/>
      <c r="T182" s="57"/>
      <c r="U182" s="57"/>
      <c r="V182" s="57"/>
      <c r="W182" s="57"/>
      <c r="X182" s="57"/>
      <c r="Y182" s="98"/>
      <c r="AA182" s="98"/>
      <c r="AR182" s="98"/>
      <c r="AS182" s="57"/>
      <c r="AU182" s="57"/>
      <c r="BF182" s="98"/>
      <c r="BG182" s="98"/>
      <c r="BH182" s="98"/>
      <c r="BI182" s="98"/>
      <c r="BJ182" s="98"/>
      <c r="BK182" s="98"/>
      <c r="BL182" s="98"/>
      <c r="BM182" s="57"/>
    </row>
    <row r="183" spans="1:65" ht="11.25" x14ac:dyDescent="0.2">
      <c r="A183" s="57"/>
      <c r="B183" s="57"/>
      <c r="C183" s="57"/>
      <c r="D183" s="57"/>
      <c r="E183" s="57"/>
      <c r="F183" s="57"/>
      <c r="G183" s="57"/>
      <c r="H183" s="57"/>
      <c r="I183" s="57"/>
      <c r="J183" s="57"/>
      <c r="L183" s="57"/>
      <c r="M183" s="57"/>
      <c r="N183" s="57"/>
      <c r="O183" s="57"/>
      <c r="P183" s="57"/>
      <c r="Q183" s="57"/>
      <c r="R183" s="57"/>
      <c r="S183" s="57"/>
      <c r="T183" s="57"/>
      <c r="U183" s="57"/>
      <c r="V183" s="57"/>
      <c r="W183" s="57"/>
      <c r="X183" s="57"/>
      <c r="Y183" s="98"/>
      <c r="AA183" s="98"/>
      <c r="AR183" s="98"/>
      <c r="AS183" s="57"/>
      <c r="AU183" s="57"/>
      <c r="BF183" s="98"/>
      <c r="BG183" s="98"/>
      <c r="BH183" s="98"/>
      <c r="BI183" s="98"/>
      <c r="BJ183" s="98"/>
      <c r="BK183" s="98"/>
      <c r="BL183" s="98"/>
      <c r="BM183" s="57"/>
    </row>
    <row r="184" spans="1:65" ht="11.25" x14ac:dyDescent="0.2">
      <c r="A184" s="57"/>
      <c r="B184" s="57"/>
      <c r="C184" s="57"/>
      <c r="D184" s="57"/>
      <c r="E184" s="57"/>
      <c r="F184" s="57"/>
      <c r="G184" s="57"/>
      <c r="H184" s="57"/>
      <c r="I184" s="57"/>
      <c r="J184" s="57"/>
      <c r="L184" s="57"/>
      <c r="M184" s="57"/>
      <c r="N184" s="57"/>
      <c r="O184" s="57"/>
      <c r="P184" s="57"/>
      <c r="Q184" s="57"/>
      <c r="R184" s="57"/>
      <c r="S184" s="57"/>
      <c r="T184" s="57"/>
      <c r="U184" s="57"/>
      <c r="V184" s="57"/>
      <c r="W184" s="57"/>
      <c r="X184" s="57"/>
      <c r="Y184" s="98"/>
      <c r="AA184" s="98"/>
      <c r="AR184" s="98"/>
      <c r="AS184" s="57"/>
      <c r="AU184" s="57"/>
      <c r="BF184" s="98"/>
      <c r="BG184" s="98"/>
      <c r="BH184" s="98"/>
      <c r="BI184" s="98"/>
      <c r="BJ184" s="98"/>
      <c r="BK184" s="98"/>
      <c r="BL184" s="98"/>
      <c r="BM184" s="57"/>
    </row>
    <row r="185" spans="1:65" ht="11.25" x14ac:dyDescent="0.2">
      <c r="A185" s="57"/>
      <c r="B185" s="57"/>
      <c r="C185" s="57"/>
      <c r="D185" s="57"/>
      <c r="E185" s="57"/>
      <c r="F185" s="57"/>
      <c r="G185" s="57"/>
      <c r="H185" s="57"/>
      <c r="I185" s="57"/>
      <c r="J185" s="57"/>
      <c r="L185" s="57"/>
      <c r="M185" s="57"/>
      <c r="N185" s="57"/>
      <c r="O185" s="57"/>
      <c r="P185" s="57"/>
      <c r="Q185" s="57"/>
      <c r="R185" s="57"/>
      <c r="S185" s="57"/>
      <c r="T185" s="57"/>
      <c r="U185" s="57"/>
      <c r="V185" s="57"/>
      <c r="W185" s="57"/>
      <c r="X185" s="57"/>
      <c r="Y185" s="98"/>
      <c r="AA185" s="98"/>
      <c r="AR185" s="98"/>
      <c r="AS185" s="57"/>
      <c r="AU185" s="57"/>
      <c r="BF185" s="98"/>
      <c r="BG185" s="98"/>
      <c r="BH185" s="98"/>
      <c r="BI185" s="98"/>
      <c r="BJ185" s="98"/>
      <c r="BK185" s="98"/>
      <c r="BL185" s="98"/>
      <c r="BM185" s="57"/>
    </row>
    <row r="186" spans="1:65" ht="11.25" x14ac:dyDescent="0.2">
      <c r="A186" s="57"/>
      <c r="B186" s="57"/>
      <c r="C186" s="57"/>
      <c r="D186" s="57"/>
      <c r="E186" s="57"/>
      <c r="F186" s="57"/>
      <c r="G186" s="57"/>
      <c r="H186" s="57"/>
      <c r="I186" s="57"/>
      <c r="J186" s="57"/>
      <c r="L186" s="57"/>
      <c r="M186" s="57"/>
      <c r="N186" s="57"/>
      <c r="O186" s="57"/>
      <c r="P186" s="57"/>
      <c r="Q186" s="57"/>
      <c r="R186" s="57"/>
      <c r="S186" s="57"/>
      <c r="T186" s="57"/>
      <c r="U186" s="57"/>
      <c r="V186" s="57"/>
      <c r="W186" s="57"/>
      <c r="X186" s="57"/>
      <c r="Y186" s="98"/>
      <c r="AA186" s="98"/>
      <c r="AR186" s="98"/>
      <c r="AS186" s="57"/>
      <c r="AU186" s="57"/>
      <c r="BF186" s="98"/>
      <c r="BG186" s="98"/>
      <c r="BH186" s="98"/>
      <c r="BI186" s="98"/>
      <c r="BJ186" s="98"/>
      <c r="BK186" s="98"/>
      <c r="BL186" s="98"/>
      <c r="BM186" s="57"/>
    </row>
    <row r="187" spans="1:65" ht="11.25" x14ac:dyDescent="0.2">
      <c r="A187" s="57"/>
      <c r="B187" s="57"/>
      <c r="C187" s="57"/>
      <c r="D187" s="57"/>
      <c r="E187" s="57"/>
      <c r="F187" s="57"/>
      <c r="G187" s="57"/>
      <c r="H187" s="57"/>
      <c r="I187" s="57"/>
      <c r="J187" s="57"/>
      <c r="L187" s="57"/>
      <c r="M187" s="57"/>
      <c r="N187" s="57"/>
      <c r="O187" s="57"/>
      <c r="P187" s="57"/>
      <c r="Q187" s="57"/>
      <c r="R187" s="57"/>
      <c r="S187" s="57"/>
      <c r="T187" s="57"/>
      <c r="U187" s="57"/>
      <c r="V187" s="57"/>
      <c r="W187" s="57"/>
      <c r="X187" s="57"/>
      <c r="Y187" s="98"/>
      <c r="AA187" s="98"/>
      <c r="AR187" s="98"/>
      <c r="AS187" s="57"/>
      <c r="AU187" s="57"/>
      <c r="BF187" s="98"/>
      <c r="BG187" s="98"/>
      <c r="BH187" s="98"/>
      <c r="BI187" s="98"/>
      <c r="BJ187" s="98"/>
      <c r="BK187" s="98"/>
      <c r="BL187" s="98"/>
      <c r="BM187" s="57"/>
    </row>
    <row r="188" spans="1:65" ht="11.25" x14ac:dyDescent="0.2">
      <c r="A188" s="57"/>
      <c r="B188" s="57"/>
      <c r="C188" s="57"/>
      <c r="D188" s="57"/>
      <c r="E188" s="57"/>
      <c r="F188" s="57"/>
      <c r="G188" s="57"/>
      <c r="H188" s="57"/>
      <c r="I188" s="57"/>
      <c r="J188" s="57"/>
      <c r="L188" s="57"/>
      <c r="M188" s="57"/>
      <c r="N188" s="57"/>
      <c r="O188" s="57"/>
      <c r="P188" s="57"/>
      <c r="Q188" s="57"/>
      <c r="R188" s="57"/>
      <c r="S188" s="57"/>
      <c r="T188" s="57"/>
      <c r="U188" s="57"/>
      <c r="V188" s="57"/>
      <c r="W188" s="57"/>
      <c r="X188" s="57"/>
      <c r="Y188" s="98"/>
      <c r="AA188" s="98"/>
      <c r="AR188" s="98"/>
      <c r="AS188" s="57"/>
      <c r="AU188" s="57"/>
      <c r="BF188" s="98"/>
      <c r="BG188" s="98"/>
      <c r="BH188" s="98"/>
      <c r="BI188" s="98"/>
      <c r="BJ188" s="98"/>
      <c r="BK188" s="98"/>
      <c r="BL188" s="98"/>
      <c r="BM188" s="57"/>
    </row>
    <row r="189" spans="1:65" ht="11.25" x14ac:dyDescent="0.2">
      <c r="A189" s="57"/>
      <c r="B189" s="57"/>
      <c r="C189" s="57"/>
      <c r="D189" s="57"/>
      <c r="E189" s="57"/>
      <c r="F189" s="57"/>
      <c r="G189" s="57"/>
      <c r="H189" s="57"/>
      <c r="I189" s="57"/>
      <c r="J189" s="57"/>
      <c r="L189" s="57"/>
      <c r="M189" s="57"/>
      <c r="N189" s="57"/>
      <c r="O189" s="57"/>
      <c r="P189" s="57"/>
      <c r="Q189" s="57"/>
      <c r="R189" s="57"/>
      <c r="S189" s="57"/>
      <c r="T189" s="57"/>
      <c r="U189" s="57"/>
      <c r="V189" s="57"/>
      <c r="W189" s="57"/>
      <c r="X189" s="57"/>
      <c r="Y189" s="98"/>
      <c r="AA189" s="98"/>
      <c r="AR189" s="98"/>
      <c r="AS189" s="57"/>
      <c r="AU189" s="57"/>
      <c r="BF189" s="98"/>
      <c r="BG189" s="98"/>
      <c r="BH189" s="98"/>
      <c r="BI189" s="98"/>
      <c r="BJ189" s="98"/>
      <c r="BK189" s="98"/>
      <c r="BL189" s="98"/>
      <c r="BM189" s="57"/>
    </row>
    <row r="190" spans="1:65" ht="11.25" x14ac:dyDescent="0.2">
      <c r="A190" s="57"/>
      <c r="B190" s="57"/>
      <c r="C190" s="57"/>
      <c r="D190" s="57"/>
      <c r="E190" s="57"/>
      <c r="F190" s="57"/>
      <c r="G190" s="57"/>
      <c r="H190" s="57"/>
      <c r="I190" s="57"/>
      <c r="J190" s="57"/>
      <c r="L190" s="57"/>
      <c r="M190" s="57"/>
      <c r="N190" s="57"/>
      <c r="O190" s="57"/>
      <c r="P190" s="57"/>
      <c r="Q190" s="57"/>
      <c r="R190" s="57"/>
      <c r="S190" s="57"/>
      <c r="T190" s="57"/>
      <c r="U190" s="57"/>
      <c r="V190" s="57"/>
      <c r="W190" s="57"/>
      <c r="X190" s="57"/>
      <c r="Y190" s="98"/>
      <c r="AA190" s="98"/>
      <c r="AR190" s="98"/>
      <c r="AS190" s="57"/>
      <c r="AU190" s="57"/>
      <c r="BF190" s="98"/>
      <c r="BG190" s="98"/>
      <c r="BH190" s="98"/>
      <c r="BI190" s="98"/>
      <c r="BJ190" s="98"/>
      <c r="BK190" s="98"/>
      <c r="BL190" s="98"/>
      <c r="BM190" s="57"/>
    </row>
    <row r="191" spans="1:65" ht="11.25" x14ac:dyDescent="0.2">
      <c r="A191" s="57"/>
      <c r="B191" s="57"/>
      <c r="C191" s="57"/>
      <c r="D191" s="57"/>
      <c r="E191" s="57"/>
      <c r="F191" s="57"/>
      <c r="G191" s="57"/>
      <c r="H191" s="57"/>
      <c r="I191" s="57"/>
      <c r="J191" s="57"/>
      <c r="L191" s="57"/>
      <c r="M191" s="57"/>
      <c r="N191" s="57"/>
      <c r="O191" s="57"/>
      <c r="P191" s="57"/>
      <c r="Q191" s="57"/>
      <c r="R191" s="57"/>
      <c r="S191" s="57"/>
      <c r="T191" s="57"/>
      <c r="U191" s="57"/>
      <c r="V191" s="57"/>
      <c r="W191" s="57"/>
      <c r="X191" s="57"/>
      <c r="Y191" s="98"/>
      <c r="AA191" s="98"/>
      <c r="AR191" s="98"/>
      <c r="AS191" s="57"/>
      <c r="AU191" s="57"/>
      <c r="BF191" s="98"/>
      <c r="BG191" s="98"/>
      <c r="BH191" s="98"/>
      <c r="BI191" s="98"/>
      <c r="BJ191" s="98"/>
      <c r="BK191" s="98"/>
      <c r="BL191" s="98"/>
      <c r="BM191" s="57"/>
    </row>
    <row r="192" spans="1:65" ht="11.25" x14ac:dyDescent="0.2">
      <c r="A192" s="57"/>
      <c r="B192" s="57"/>
      <c r="C192" s="57"/>
      <c r="D192" s="57"/>
      <c r="E192" s="57"/>
      <c r="F192" s="57"/>
      <c r="G192" s="57"/>
      <c r="H192" s="57"/>
      <c r="I192" s="57"/>
      <c r="J192" s="57"/>
      <c r="L192" s="57"/>
      <c r="M192" s="57"/>
      <c r="N192" s="57"/>
      <c r="O192" s="57"/>
      <c r="P192" s="57"/>
      <c r="Q192" s="57"/>
      <c r="R192" s="57"/>
      <c r="S192" s="57"/>
      <c r="T192" s="57"/>
      <c r="U192" s="57"/>
      <c r="V192" s="57"/>
      <c r="W192" s="57"/>
      <c r="X192" s="57"/>
      <c r="Y192" s="98"/>
      <c r="AA192" s="98"/>
      <c r="AR192" s="98"/>
      <c r="AS192" s="57"/>
      <c r="AU192" s="57"/>
      <c r="BF192" s="98"/>
      <c r="BG192" s="98"/>
      <c r="BH192" s="98"/>
      <c r="BI192" s="98"/>
      <c r="BJ192" s="98"/>
      <c r="BK192" s="98"/>
      <c r="BL192" s="98"/>
      <c r="BM192" s="57"/>
    </row>
    <row r="193" spans="1:65" ht="11.25" x14ac:dyDescent="0.2">
      <c r="A193" s="57"/>
      <c r="B193" s="57"/>
      <c r="C193" s="57"/>
      <c r="D193" s="57"/>
      <c r="E193" s="57"/>
      <c r="F193" s="57"/>
      <c r="G193" s="57"/>
      <c r="H193" s="57"/>
      <c r="I193" s="57"/>
      <c r="J193" s="57"/>
      <c r="L193" s="57"/>
      <c r="M193" s="57"/>
      <c r="N193" s="57"/>
      <c r="O193" s="57"/>
      <c r="P193" s="57"/>
      <c r="Q193" s="57"/>
      <c r="R193" s="57"/>
      <c r="S193" s="57"/>
      <c r="T193" s="57"/>
      <c r="U193" s="57"/>
      <c r="V193" s="57"/>
      <c r="W193" s="57"/>
      <c r="X193" s="57"/>
      <c r="Y193" s="98"/>
      <c r="AA193" s="98"/>
      <c r="AR193" s="98"/>
      <c r="AS193" s="57"/>
      <c r="AU193" s="57"/>
      <c r="BF193" s="98"/>
      <c r="BG193" s="98"/>
      <c r="BH193" s="98"/>
      <c r="BI193" s="98"/>
      <c r="BJ193" s="98"/>
      <c r="BK193" s="98"/>
      <c r="BL193" s="98"/>
      <c r="BM193" s="57"/>
    </row>
    <row r="194" spans="1:65" ht="11.25" x14ac:dyDescent="0.2">
      <c r="A194" s="57"/>
      <c r="B194" s="57"/>
      <c r="C194" s="57"/>
      <c r="D194" s="57"/>
      <c r="E194" s="57"/>
      <c r="F194" s="57"/>
      <c r="G194" s="57"/>
      <c r="H194" s="57"/>
      <c r="I194" s="57"/>
      <c r="J194" s="57"/>
      <c r="L194" s="57"/>
      <c r="M194" s="57"/>
      <c r="N194" s="57"/>
      <c r="O194" s="57"/>
      <c r="P194" s="57"/>
      <c r="Q194" s="57"/>
      <c r="R194" s="57"/>
      <c r="S194" s="57"/>
      <c r="T194" s="57"/>
      <c r="U194" s="57"/>
      <c r="V194" s="57"/>
      <c r="W194" s="57"/>
      <c r="X194" s="57"/>
      <c r="Y194" s="98"/>
      <c r="AA194" s="98"/>
      <c r="AR194" s="98"/>
      <c r="AS194" s="57"/>
      <c r="AU194" s="57"/>
      <c r="BF194" s="98"/>
      <c r="BG194" s="98"/>
      <c r="BH194" s="98"/>
      <c r="BI194" s="98"/>
      <c r="BJ194" s="98"/>
      <c r="BK194" s="98"/>
      <c r="BL194" s="98"/>
      <c r="BM194" s="57"/>
    </row>
    <row r="195" spans="1:65" ht="11.25" x14ac:dyDescent="0.2">
      <c r="A195" s="57"/>
      <c r="B195" s="57"/>
      <c r="C195" s="57"/>
      <c r="D195" s="57"/>
      <c r="E195" s="57"/>
      <c r="F195" s="57"/>
      <c r="G195" s="57"/>
      <c r="H195" s="57"/>
      <c r="I195" s="57"/>
      <c r="J195" s="57"/>
      <c r="L195" s="57"/>
      <c r="M195" s="57"/>
      <c r="N195" s="57"/>
      <c r="O195" s="57"/>
      <c r="P195" s="57"/>
      <c r="Q195" s="57"/>
      <c r="R195" s="57"/>
      <c r="S195" s="57"/>
      <c r="T195" s="57"/>
      <c r="U195" s="57"/>
      <c r="V195" s="57"/>
      <c r="W195" s="57"/>
      <c r="X195" s="57"/>
      <c r="Y195" s="98"/>
      <c r="AA195" s="98"/>
      <c r="AR195" s="98"/>
      <c r="AS195" s="57"/>
      <c r="AU195" s="57"/>
      <c r="BF195" s="98"/>
      <c r="BG195" s="98"/>
      <c r="BH195" s="98"/>
      <c r="BI195" s="98"/>
      <c r="BJ195" s="98"/>
      <c r="BK195" s="98"/>
      <c r="BL195" s="98"/>
      <c r="BM195" s="57"/>
    </row>
    <row r="196" spans="1:65" ht="11.25" x14ac:dyDescent="0.2">
      <c r="A196" s="57"/>
      <c r="B196" s="57"/>
      <c r="C196" s="57"/>
      <c r="D196" s="57"/>
      <c r="E196" s="57"/>
      <c r="F196" s="57"/>
      <c r="G196" s="57"/>
      <c r="H196" s="57"/>
      <c r="I196" s="57"/>
      <c r="J196" s="57"/>
      <c r="L196" s="57"/>
      <c r="M196" s="57"/>
      <c r="N196" s="57"/>
      <c r="O196" s="57"/>
      <c r="P196" s="57"/>
      <c r="Q196" s="57"/>
      <c r="R196" s="57"/>
      <c r="S196" s="57"/>
      <c r="T196" s="57"/>
      <c r="U196" s="57"/>
      <c r="V196" s="57"/>
      <c r="W196" s="57"/>
      <c r="X196" s="57"/>
      <c r="Y196" s="98"/>
      <c r="AA196" s="98"/>
      <c r="AR196" s="98"/>
      <c r="AS196" s="57"/>
      <c r="AU196" s="57"/>
      <c r="BF196" s="98"/>
      <c r="BG196" s="98"/>
      <c r="BH196" s="98"/>
      <c r="BI196" s="98"/>
      <c r="BJ196" s="98"/>
      <c r="BK196" s="98"/>
      <c r="BL196" s="98"/>
      <c r="BM196" s="57"/>
    </row>
    <row r="197" spans="1:65" ht="11.25" x14ac:dyDescent="0.2">
      <c r="A197" s="57"/>
      <c r="B197" s="57"/>
      <c r="C197" s="57"/>
      <c r="D197" s="57"/>
      <c r="E197" s="57"/>
      <c r="F197" s="57"/>
      <c r="G197" s="57"/>
      <c r="H197" s="57"/>
      <c r="I197" s="57"/>
      <c r="J197" s="57"/>
      <c r="L197" s="57"/>
      <c r="M197" s="57"/>
      <c r="N197" s="57"/>
      <c r="O197" s="57"/>
      <c r="P197" s="57"/>
      <c r="Q197" s="57"/>
      <c r="R197" s="57"/>
      <c r="S197" s="57"/>
      <c r="T197" s="57"/>
      <c r="U197" s="57"/>
      <c r="V197" s="57"/>
      <c r="W197" s="57"/>
      <c r="X197" s="57"/>
      <c r="Y197" s="98"/>
      <c r="AA197" s="98"/>
      <c r="AR197" s="98"/>
      <c r="AS197" s="57"/>
      <c r="AU197" s="57"/>
      <c r="BF197" s="98"/>
      <c r="BG197" s="98"/>
      <c r="BH197" s="98"/>
      <c r="BI197" s="98"/>
      <c r="BJ197" s="98"/>
      <c r="BK197" s="98"/>
      <c r="BL197" s="98"/>
      <c r="BM197" s="57"/>
    </row>
    <row r="198" spans="1:65" ht="11.25" x14ac:dyDescent="0.2">
      <c r="A198" s="57"/>
      <c r="B198" s="57"/>
      <c r="C198" s="57"/>
      <c r="D198" s="57"/>
      <c r="E198" s="57"/>
      <c r="F198" s="57"/>
      <c r="G198" s="57"/>
      <c r="H198" s="57"/>
      <c r="I198" s="57"/>
      <c r="J198" s="57"/>
      <c r="L198" s="57"/>
      <c r="M198" s="57"/>
      <c r="N198" s="57"/>
      <c r="O198" s="57"/>
      <c r="P198" s="57"/>
      <c r="Q198" s="57"/>
      <c r="R198" s="57"/>
      <c r="S198" s="57"/>
      <c r="T198" s="57"/>
      <c r="U198" s="57"/>
      <c r="V198" s="57"/>
      <c r="W198" s="57"/>
      <c r="X198" s="57"/>
      <c r="Y198" s="98"/>
      <c r="AA198" s="98"/>
      <c r="AR198" s="98"/>
      <c r="AS198" s="57"/>
      <c r="AU198" s="57"/>
      <c r="BF198" s="98"/>
      <c r="BG198" s="98"/>
      <c r="BH198" s="98"/>
      <c r="BI198" s="98"/>
      <c r="BJ198" s="98"/>
      <c r="BK198" s="98"/>
      <c r="BL198" s="98"/>
      <c r="BM198" s="57"/>
    </row>
    <row r="199" spans="1:65" ht="11.25" x14ac:dyDescent="0.2">
      <c r="A199" s="57"/>
      <c r="B199" s="57"/>
      <c r="C199" s="57"/>
      <c r="D199" s="57"/>
      <c r="E199" s="57"/>
      <c r="F199" s="57"/>
      <c r="G199" s="57"/>
      <c r="H199" s="57"/>
      <c r="I199" s="57"/>
      <c r="J199" s="57"/>
      <c r="L199" s="57"/>
      <c r="M199" s="57"/>
      <c r="N199" s="57"/>
      <c r="O199" s="57"/>
      <c r="P199" s="57"/>
      <c r="Q199" s="57"/>
      <c r="R199" s="57"/>
      <c r="S199" s="57"/>
      <c r="T199" s="57"/>
      <c r="U199" s="57"/>
      <c r="V199" s="57"/>
      <c r="W199" s="57"/>
      <c r="X199" s="57"/>
      <c r="Y199" s="98"/>
      <c r="AA199" s="98"/>
      <c r="AR199" s="98"/>
      <c r="AS199" s="57"/>
      <c r="AU199" s="57"/>
      <c r="BF199" s="98"/>
      <c r="BG199" s="98"/>
      <c r="BH199" s="98"/>
      <c r="BI199" s="98"/>
      <c r="BJ199" s="98"/>
      <c r="BK199" s="98"/>
      <c r="BL199" s="98"/>
      <c r="BM199" s="57"/>
    </row>
    <row r="200" spans="1:65" ht="11.25" x14ac:dyDescent="0.2">
      <c r="A200" s="57"/>
      <c r="B200" s="57"/>
      <c r="C200" s="57"/>
      <c r="D200" s="57"/>
      <c r="E200" s="57"/>
      <c r="F200" s="57"/>
      <c r="G200" s="57"/>
      <c r="H200" s="57"/>
      <c r="I200" s="57"/>
      <c r="J200" s="57"/>
      <c r="L200" s="57"/>
      <c r="M200" s="57"/>
      <c r="N200" s="57"/>
      <c r="O200" s="57"/>
      <c r="P200" s="57"/>
      <c r="Q200" s="57"/>
      <c r="R200" s="57"/>
      <c r="S200" s="57"/>
      <c r="T200" s="57"/>
      <c r="U200" s="57"/>
      <c r="V200" s="57"/>
      <c r="W200" s="57"/>
      <c r="X200" s="57"/>
      <c r="Y200" s="98"/>
      <c r="AA200" s="98"/>
      <c r="AR200" s="98"/>
      <c r="AS200" s="57"/>
      <c r="AU200" s="57"/>
      <c r="BF200" s="98"/>
      <c r="BG200" s="98"/>
      <c r="BH200" s="98"/>
      <c r="BI200" s="98"/>
      <c r="BJ200" s="98"/>
      <c r="BK200" s="98"/>
      <c r="BL200" s="98"/>
      <c r="BM200" s="57"/>
    </row>
    <row r="201" spans="1:65" ht="11.25" x14ac:dyDescent="0.2">
      <c r="A201" s="57"/>
      <c r="B201" s="57"/>
      <c r="C201" s="57"/>
      <c r="D201" s="57"/>
      <c r="E201" s="57"/>
      <c r="F201" s="57"/>
      <c r="G201" s="57"/>
      <c r="H201" s="57"/>
      <c r="I201" s="57"/>
      <c r="J201" s="57"/>
      <c r="L201" s="57"/>
      <c r="M201" s="57"/>
      <c r="N201" s="57"/>
      <c r="O201" s="57"/>
      <c r="P201" s="57"/>
      <c r="Q201" s="57"/>
      <c r="R201" s="57"/>
      <c r="S201" s="57"/>
      <c r="T201" s="57"/>
      <c r="U201" s="57"/>
      <c r="V201" s="57"/>
      <c r="W201" s="57"/>
      <c r="X201" s="57"/>
      <c r="Y201" s="98"/>
      <c r="AA201" s="98"/>
      <c r="AR201" s="98"/>
      <c r="AS201" s="57"/>
      <c r="AU201" s="57"/>
      <c r="BF201" s="98"/>
      <c r="BG201" s="98"/>
      <c r="BH201" s="98"/>
      <c r="BI201" s="98"/>
      <c r="BJ201" s="98"/>
      <c r="BK201" s="98"/>
      <c r="BL201" s="98"/>
      <c r="BM201" s="57"/>
    </row>
    <row r="202" spans="1:65" ht="11.25" x14ac:dyDescent="0.2">
      <c r="A202" s="57"/>
      <c r="B202" s="57"/>
      <c r="C202" s="57"/>
      <c r="D202" s="57"/>
      <c r="E202" s="57"/>
      <c r="F202" s="57"/>
      <c r="G202" s="57"/>
      <c r="H202" s="57"/>
      <c r="I202" s="57"/>
      <c r="J202" s="57"/>
      <c r="L202" s="57"/>
      <c r="M202" s="57"/>
      <c r="N202" s="57"/>
      <c r="O202" s="57"/>
      <c r="P202" s="57"/>
      <c r="Q202" s="57"/>
      <c r="R202" s="57"/>
      <c r="S202" s="57"/>
      <c r="T202" s="57"/>
      <c r="U202" s="57"/>
      <c r="V202" s="57"/>
      <c r="W202" s="57"/>
      <c r="X202" s="57"/>
      <c r="Y202" s="98"/>
      <c r="AA202" s="98"/>
      <c r="AR202" s="98"/>
      <c r="AS202" s="57"/>
      <c r="AU202" s="57"/>
      <c r="BF202" s="98"/>
      <c r="BG202" s="98"/>
      <c r="BH202" s="98"/>
      <c r="BI202" s="98"/>
      <c r="BJ202" s="98"/>
      <c r="BK202" s="98"/>
      <c r="BL202" s="98"/>
      <c r="BM202" s="57"/>
    </row>
    <row r="203" spans="1:65" ht="11.25" x14ac:dyDescent="0.2">
      <c r="A203" s="57"/>
      <c r="B203" s="57"/>
      <c r="C203" s="57"/>
      <c r="D203" s="57"/>
      <c r="E203" s="57"/>
      <c r="F203" s="57"/>
      <c r="G203" s="57"/>
      <c r="H203" s="57"/>
      <c r="I203" s="57"/>
      <c r="J203" s="57"/>
      <c r="L203" s="57"/>
      <c r="M203" s="57"/>
      <c r="N203" s="57"/>
      <c r="O203" s="57"/>
      <c r="P203" s="57"/>
      <c r="Q203" s="57"/>
      <c r="R203" s="57"/>
      <c r="S203" s="57"/>
      <c r="T203" s="57"/>
      <c r="U203" s="57"/>
      <c r="V203" s="57"/>
      <c r="W203" s="57"/>
      <c r="X203" s="57"/>
      <c r="Y203" s="98"/>
      <c r="AA203" s="98"/>
      <c r="AR203" s="98"/>
      <c r="AS203" s="57"/>
      <c r="AU203" s="57"/>
      <c r="BF203" s="98"/>
      <c r="BG203" s="98"/>
      <c r="BH203" s="98"/>
      <c r="BI203" s="98"/>
      <c r="BJ203" s="98"/>
      <c r="BK203" s="98"/>
      <c r="BL203" s="98"/>
      <c r="BM203" s="57"/>
    </row>
    <row r="204" spans="1:65" ht="11.25" x14ac:dyDescent="0.2">
      <c r="A204" s="57"/>
      <c r="B204" s="57"/>
      <c r="C204" s="57"/>
      <c r="D204" s="57"/>
      <c r="E204" s="57"/>
      <c r="F204" s="57"/>
      <c r="G204" s="57"/>
      <c r="H204" s="57"/>
      <c r="I204" s="57"/>
      <c r="J204" s="57"/>
      <c r="L204" s="57"/>
      <c r="M204" s="57"/>
      <c r="N204" s="57"/>
      <c r="O204" s="57"/>
      <c r="P204" s="57"/>
      <c r="Q204" s="57"/>
      <c r="R204" s="57"/>
      <c r="S204" s="57"/>
      <c r="T204" s="57"/>
      <c r="U204" s="57"/>
      <c r="V204" s="57"/>
      <c r="W204" s="57"/>
      <c r="X204" s="57"/>
      <c r="Y204" s="98"/>
      <c r="AA204" s="98"/>
      <c r="AR204" s="98"/>
      <c r="AS204" s="57"/>
      <c r="AU204" s="57"/>
      <c r="BF204" s="98"/>
      <c r="BG204" s="98"/>
      <c r="BH204" s="98"/>
      <c r="BI204" s="98"/>
      <c r="BJ204" s="98"/>
      <c r="BK204" s="98"/>
      <c r="BL204" s="98"/>
      <c r="BM204" s="57"/>
    </row>
    <row r="205" spans="1:65" ht="11.25" x14ac:dyDescent="0.2">
      <c r="A205" s="57"/>
      <c r="B205" s="57"/>
      <c r="C205" s="57"/>
      <c r="D205" s="57"/>
      <c r="E205" s="57"/>
      <c r="F205" s="57"/>
      <c r="G205" s="57"/>
      <c r="H205" s="57"/>
      <c r="I205" s="57"/>
      <c r="J205" s="57"/>
      <c r="L205" s="57"/>
      <c r="M205" s="57"/>
      <c r="N205" s="57"/>
      <c r="O205" s="57"/>
      <c r="P205" s="57"/>
      <c r="Q205" s="57"/>
      <c r="R205" s="57"/>
      <c r="S205" s="57"/>
      <c r="T205" s="57"/>
      <c r="U205" s="57"/>
      <c r="V205" s="57"/>
      <c r="W205" s="57"/>
      <c r="X205" s="57"/>
      <c r="Y205" s="98"/>
      <c r="AA205" s="98"/>
      <c r="AR205" s="98"/>
      <c r="AS205" s="57"/>
      <c r="AU205" s="57"/>
      <c r="BF205" s="98"/>
      <c r="BG205" s="98"/>
      <c r="BH205" s="98"/>
      <c r="BI205" s="98"/>
      <c r="BJ205" s="98"/>
      <c r="BK205" s="98"/>
      <c r="BL205" s="98"/>
      <c r="BM205" s="57"/>
    </row>
    <row r="206" spans="1:65" ht="11.25" x14ac:dyDescent="0.2">
      <c r="A206" s="57"/>
      <c r="B206" s="57"/>
      <c r="C206" s="57"/>
      <c r="D206" s="57"/>
      <c r="E206" s="57"/>
      <c r="F206" s="57"/>
      <c r="G206" s="57"/>
      <c r="H206" s="57"/>
      <c r="I206" s="57"/>
      <c r="J206" s="57"/>
      <c r="L206" s="57"/>
      <c r="M206" s="57"/>
      <c r="N206" s="57"/>
      <c r="O206" s="57"/>
      <c r="P206" s="57"/>
      <c r="Q206" s="57"/>
      <c r="R206" s="57"/>
      <c r="S206" s="57"/>
      <c r="T206" s="57"/>
      <c r="U206" s="57"/>
      <c r="V206" s="57"/>
      <c r="W206" s="57"/>
      <c r="X206" s="57"/>
      <c r="Y206" s="98"/>
      <c r="AA206" s="98"/>
      <c r="AR206" s="98"/>
      <c r="AS206" s="57"/>
      <c r="AU206" s="57"/>
      <c r="BF206" s="98"/>
      <c r="BG206" s="98"/>
      <c r="BH206" s="98"/>
      <c r="BI206" s="98"/>
      <c r="BJ206" s="98"/>
      <c r="BK206" s="98"/>
      <c r="BL206" s="98"/>
      <c r="BM206" s="57"/>
    </row>
    <row r="207" spans="1:65" ht="11.25" x14ac:dyDescent="0.2">
      <c r="A207" s="57"/>
      <c r="B207" s="57"/>
      <c r="C207" s="57"/>
      <c r="D207" s="57"/>
      <c r="E207" s="57"/>
      <c r="F207" s="57"/>
      <c r="G207" s="57"/>
      <c r="H207" s="57"/>
      <c r="I207" s="57"/>
      <c r="J207" s="57"/>
      <c r="L207" s="57"/>
      <c r="M207" s="57"/>
      <c r="N207" s="57"/>
      <c r="O207" s="57"/>
      <c r="P207" s="57"/>
      <c r="Q207" s="57"/>
      <c r="R207" s="57"/>
      <c r="S207" s="57"/>
      <c r="T207" s="57"/>
      <c r="U207" s="57"/>
      <c r="V207" s="57"/>
      <c r="W207" s="57"/>
      <c r="X207" s="57"/>
      <c r="Y207" s="98"/>
      <c r="AA207" s="98"/>
      <c r="AR207" s="98"/>
      <c r="AS207" s="57"/>
      <c r="AU207" s="57"/>
      <c r="BF207" s="98"/>
      <c r="BG207" s="98"/>
      <c r="BH207" s="98"/>
      <c r="BI207" s="98"/>
      <c r="BJ207" s="98"/>
      <c r="BK207" s="98"/>
      <c r="BL207" s="98"/>
      <c r="BM207" s="57"/>
    </row>
    <row r="208" spans="1:65" ht="11.25" x14ac:dyDescent="0.2">
      <c r="A208" s="57"/>
      <c r="B208" s="57"/>
      <c r="C208" s="57"/>
      <c r="D208" s="57"/>
      <c r="E208" s="57"/>
      <c r="F208" s="57"/>
      <c r="G208" s="57"/>
      <c r="H208" s="57"/>
      <c r="I208" s="57"/>
      <c r="J208" s="57"/>
      <c r="L208" s="57"/>
      <c r="M208" s="57"/>
      <c r="N208" s="57"/>
      <c r="O208" s="57"/>
      <c r="P208" s="57"/>
      <c r="Q208" s="57"/>
      <c r="R208" s="57"/>
      <c r="S208" s="57"/>
      <c r="T208" s="57"/>
      <c r="U208" s="57"/>
      <c r="V208" s="57"/>
      <c r="W208" s="57"/>
      <c r="X208" s="57"/>
      <c r="Y208" s="98"/>
      <c r="AA208" s="98"/>
      <c r="AR208" s="98"/>
      <c r="AS208" s="57"/>
      <c r="AU208" s="57"/>
      <c r="BF208" s="98"/>
      <c r="BG208" s="98"/>
      <c r="BH208" s="98"/>
      <c r="BI208" s="98"/>
      <c r="BJ208" s="98"/>
      <c r="BK208" s="98"/>
      <c r="BL208" s="98"/>
      <c r="BM208" s="57"/>
    </row>
    <row r="209" spans="1:65" ht="11.25" x14ac:dyDescent="0.2">
      <c r="A209" s="57"/>
      <c r="B209" s="57"/>
      <c r="C209" s="57"/>
      <c r="D209" s="57"/>
      <c r="E209" s="57"/>
      <c r="F209" s="57"/>
      <c r="G209" s="57"/>
      <c r="H209" s="57"/>
      <c r="I209" s="57"/>
      <c r="J209" s="57"/>
      <c r="L209" s="57"/>
      <c r="M209" s="57"/>
      <c r="N209" s="57"/>
      <c r="O209" s="57"/>
      <c r="P209" s="57"/>
      <c r="Q209" s="57"/>
      <c r="R209" s="57"/>
      <c r="S209" s="57"/>
      <c r="T209" s="57"/>
      <c r="U209" s="57"/>
      <c r="V209" s="57"/>
      <c r="W209" s="57"/>
      <c r="X209" s="57"/>
      <c r="Y209" s="98"/>
      <c r="AA209" s="98"/>
      <c r="AR209" s="98"/>
      <c r="AS209" s="57"/>
      <c r="AU209" s="57"/>
      <c r="BF209" s="98"/>
      <c r="BG209" s="98"/>
      <c r="BH209" s="98"/>
      <c r="BI209" s="98"/>
      <c r="BJ209" s="98"/>
      <c r="BK209" s="98"/>
      <c r="BL209" s="98"/>
      <c r="BM209" s="57"/>
    </row>
    <row r="210" spans="1:65" ht="11.25" x14ac:dyDescent="0.2">
      <c r="A210" s="57"/>
      <c r="B210" s="57"/>
      <c r="C210" s="57"/>
      <c r="D210" s="57"/>
      <c r="E210" s="57"/>
      <c r="F210" s="57"/>
      <c r="G210" s="57"/>
      <c r="H210" s="57"/>
      <c r="I210" s="57"/>
      <c r="J210" s="57"/>
      <c r="L210" s="57"/>
      <c r="M210" s="57"/>
      <c r="N210" s="57"/>
      <c r="O210" s="57"/>
      <c r="P210" s="57"/>
      <c r="Q210" s="57"/>
      <c r="R210" s="57"/>
      <c r="S210" s="57"/>
      <c r="T210" s="57"/>
      <c r="U210" s="57"/>
      <c r="V210" s="57"/>
      <c r="W210" s="57"/>
      <c r="X210" s="57"/>
      <c r="Y210" s="98"/>
      <c r="AA210" s="98"/>
      <c r="AR210" s="98"/>
      <c r="AS210" s="57"/>
      <c r="AU210" s="57"/>
      <c r="BF210" s="98"/>
      <c r="BG210" s="98"/>
      <c r="BH210" s="98"/>
      <c r="BI210" s="98"/>
      <c r="BJ210" s="98"/>
      <c r="BK210" s="98"/>
      <c r="BL210" s="98"/>
      <c r="BM210" s="57"/>
    </row>
    <row r="211" spans="1:65" ht="11.25" x14ac:dyDescent="0.2">
      <c r="A211" s="57"/>
      <c r="B211" s="57"/>
      <c r="C211" s="57"/>
      <c r="D211" s="57"/>
      <c r="E211" s="57"/>
      <c r="F211" s="57"/>
      <c r="G211" s="57"/>
      <c r="H211" s="57"/>
      <c r="I211" s="57"/>
      <c r="J211" s="57"/>
      <c r="L211" s="57"/>
      <c r="M211" s="57"/>
      <c r="N211" s="57"/>
      <c r="O211" s="57"/>
      <c r="P211" s="57"/>
      <c r="Q211" s="57"/>
      <c r="R211" s="57"/>
      <c r="S211" s="57"/>
      <c r="T211" s="57"/>
      <c r="U211" s="57"/>
      <c r="V211" s="57"/>
      <c r="W211" s="57"/>
      <c r="X211" s="57"/>
      <c r="Y211" s="98"/>
      <c r="AA211" s="98"/>
      <c r="AR211" s="98"/>
      <c r="AS211" s="57"/>
      <c r="AU211" s="57"/>
      <c r="BF211" s="98"/>
      <c r="BG211" s="98"/>
      <c r="BH211" s="98"/>
      <c r="BI211" s="98"/>
      <c r="BJ211" s="98"/>
      <c r="BK211" s="98"/>
      <c r="BL211" s="98"/>
      <c r="BM211" s="57"/>
    </row>
    <row r="212" spans="1:65" ht="11.25" x14ac:dyDescent="0.2">
      <c r="A212" s="57"/>
      <c r="B212" s="57"/>
      <c r="C212" s="57"/>
      <c r="D212" s="57"/>
      <c r="E212" s="57"/>
      <c r="F212" s="57"/>
      <c r="G212" s="57"/>
      <c r="H212" s="57"/>
      <c r="I212" s="57"/>
      <c r="J212" s="57"/>
      <c r="L212" s="57"/>
      <c r="M212" s="57"/>
      <c r="N212" s="57"/>
      <c r="O212" s="57"/>
      <c r="P212" s="57"/>
      <c r="Q212" s="57"/>
      <c r="R212" s="57"/>
      <c r="S212" s="57"/>
      <c r="T212" s="57"/>
      <c r="U212" s="57"/>
      <c r="V212" s="57"/>
      <c r="W212" s="57"/>
      <c r="X212" s="57"/>
      <c r="Y212" s="98"/>
      <c r="AA212" s="98"/>
      <c r="AR212" s="98"/>
      <c r="AS212" s="57"/>
      <c r="AU212" s="57"/>
      <c r="BF212" s="98"/>
      <c r="BG212" s="98"/>
      <c r="BH212" s="98"/>
      <c r="BI212" s="98"/>
      <c r="BJ212" s="98"/>
      <c r="BK212" s="98"/>
      <c r="BL212" s="98"/>
      <c r="BM212" s="57"/>
    </row>
    <row r="213" spans="1:65" ht="11.25" x14ac:dyDescent="0.2">
      <c r="A213" s="57"/>
      <c r="B213" s="57"/>
      <c r="C213" s="57"/>
      <c r="D213" s="57"/>
      <c r="E213" s="57"/>
      <c r="F213" s="57"/>
      <c r="G213" s="57"/>
      <c r="H213" s="57"/>
      <c r="I213" s="57"/>
      <c r="J213" s="57"/>
      <c r="L213" s="57"/>
      <c r="M213" s="57"/>
      <c r="N213" s="57"/>
      <c r="O213" s="57"/>
      <c r="P213" s="57"/>
      <c r="Q213" s="57"/>
      <c r="R213" s="57"/>
      <c r="S213" s="57"/>
      <c r="T213" s="57"/>
      <c r="U213" s="57"/>
      <c r="V213" s="57"/>
      <c r="W213" s="57"/>
      <c r="X213" s="57"/>
      <c r="Y213" s="98"/>
      <c r="AA213" s="98"/>
      <c r="AR213" s="98"/>
      <c r="AS213" s="57"/>
      <c r="AU213" s="57"/>
      <c r="BF213" s="98"/>
      <c r="BG213" s="98"/>
      <c r="BH213" s="98"/>
      <c r="BI213" s="98"/>
      <c r="BJ213" s="98"/>
      <c r="BK213" s="98"/>
      <c r="BL213" s="98"/>
      <c r="BM213" s="57"/>
    </row>
    <row r="214" spans="1:65" ht="11.25" x14ac:dyDescent="0.2">
      <c r="A214" s="57"/>
      <c r="B214" s="57"/>
      <c r="C214" s="57"/>
      <c r="D214" s="57"/>
      <c r="E214" s="57"/>
      <c r="F214" s="57"/>
      <c r="G214" s="57"/>
      <c r="H214" s="57"/>
      <c r="I214" s="57"/>
      <c r="J214" s="57"/>
      <c r="L214" s="57"/>
      <c r="M214" s="57"/>
      <c r="N214" s="57"/>
      <c r="O214" s="57"/>
      <c r="P214" s="57"/>
      <c r="Q214" s="57"/>
      <c r="R214" s="57"/>
      <c r="S214" s="57"/>
      <c r="T214" s="57"/>
      <c r="U214" s="57"/>
      <c r="V214" s="57"/>
      <c r="W214" s="57"/>
      <c r="X214" s="57"/>
      <c r="Y214" s="98"/>
      <c r="AA214" s="98"/>
      <c r="AR214" s="98"/>
      <c r="AS214" s="57"/>
      <c r="AU214" s="57"/>
      <c r="BF214" s="98"/>
      <c r="BG214" s="98"/>
      <c r="BH214" s="98"/>
      <c r="BI214" s="98"/>
      <c r="BJ214" s="98"/>
      <c r="BK214" s="98"/>
      <c r="BL214" s="98"/>
      <c r="BM214" s="57"/>
    </row>
    <row r="215" spans="1:65" ht="11.25" x14ac:dyDescent="0.2">
      <c r="A215" s="57"/>
      <c r="B215" s="57"/>
      <c r="C215" s="57"/>
      <c r="D215" s="57"/>
      <c r="E215" s="57"/>
      <c r="F215" s="57"/>
      <c r="G215" s="57"/>
      <c r="H215" s="57"/>
      <c r="I215" s="57"/>
      <c r="J215" s="57"/>
      <c r="L215" s="57"/>
      <c r="M215" s="57"/>
      <c r="N215" s="57"/>
      <c r="O215" s="57"/>
      <c r="P215" s="57"/>
      <c r="Q215" s="57"/>
      <c r="R215" s="57"/>
      <c r="S215" s="57"/>
      <c r="T215" s="57"/>
      <c r="U215" s="57"/>
      <c r="V215" s="57"/>
      <c r="W215" s="57"/>
      <c r="X215" s="57"/>
      <c r="Y215" s="98"/>
      <c r="AA215" s="98"/>
      <c r="AR215" s="98"/>
      <c r="AS215" s="57"/>
      <c r="AU215" s="57"/>
      <c r="BF215" s="98"/>
      <c r="BG215" s="98"/>
      <c r="BH215" s="98"/>
      <c r="BI215" s="98"/>
      <c r="BJ215" s="98"/>
      <c r="BK215" s="98"/>
      <c r="BL215" s="98"/>
      <c r="BM215" s="57"/>
    </row>
    <row r="216" spans="1:65" ht="11.25" x14ac:dyDescent="0.2">
      <c r="A216" s="57"/>
      <c r="B216" s="57"/>
      <c r="C216" s="57"/>
      <c r="D216" s="57"/>
      <c r="E216" s="57"/>
      <c r="F216" s="57"/>
      <c r="G216" s="57"/>
      <c r="H216" s="57"/>
      <c r="I216" s="57"/>
      <c r="J216" s="57"/>
      <c r="L216" s="57"/>
      <c r="M216" s="57"/>
      <c r="N216" s="57"/>
      <c r="O216" s="57"/>
      <c r="P216" s="57"/>
      <c r="Q216" s="57"/>
      <c r="R216" s="57"/>
      <c r="S216" s="57"/>
      <c r="T216" s="57"/>
      <c r="U216" s="57"/>
      <c r="V216" s="57"/>
      <c r="W216" s="57"/>
      <c r="X216" s="57"/>
      <c r="Y216" s="98"/>
      <c r="AA216" s="98"/>
      <c r="AR216" s="98"/>
      <c r="AS216" s="57"/>
      <c r="AU216" s="57"/>
      <c r="BF216" s="98"/>
      <c r="BG216" s="98"/>
      <c r="BH216" s="98"/>
      <c r="BI216" s="98"/>
      <c r="BJ216" s="98"/>
      <c r="BK216" s="98"/>
      <c r="BL216" s="98"/>
      <c r="BM216" s="57"/>
    </row>
    <row r="217" spans="1:65" ht="11.25" x14ac:dyDescent="0.2">
      <c r="A217" s="57"/>
      <c r="B217" s="57"/>
      <c r="C217" s="57"/>
      <c r="D217" s="57"/>
      <c r="E217" s="57"/>
      <c r="F217" s="57"/>
      <c r="G217" s="57"/>
      <c r="H217" s="57"/>
      <c r="I217" s="57"/>
      <c r="J217" s="57"/>
      <c r="L217" s="57"/>
      <c r="M217" s="57"/>
      <c r="N217" s="57"/>
      <c r="O217" s="57"/>
      <c r="P217" s="57"/>
      <c r="Q217" s="57"/>
      <c r="R217" s="57"/>
      <c r="S217" s="57"/>
      <c r="T217" s="57"/>
      <c r="U217" s="57"/>
      <c r="V217" s="57"/>
      <c r="W217" s="57"/>
      <c r="X217" s="57"/>
      <c r="Y217" s="98"/>
      <c r="AA217" s="98"/>
      <c r="AR217" s="98"/>
      <c r="AS217" s="57"/>
      <c r="AU217" s="57"/>
      <c r="BF217" s="98"/>
      <c r="BG217" s="98"/>
      <c r="BH217" s="98"/>
      <c r="BI217" s="98"/>
      <c r="BJ217" s="98"/>
      <c r="BK217" s="98"/>
      <c r="BL217" s="98"/>
      <c r="BM217" s="57"/>
    </row>
    <row r="218" spans="1:65" ht="11.25" x14ac:dyDescent="0.2">
      <c r="A218" s="57"/>
      <c r="B218" s="57"/>
      <c r="C218" s="57"/>
      <c r="D218" s="57"/>
      <c r="E218" s="57"/>
      <c r="F218" s="57"/>
      <c r="G218" s="57"/>
      <c r="H218" s="57"/>
      <c r="I218" s="57"/>
      <c r="J218" s="57"/>
      <c r="L218" s="57"/>
      <c r="M218" s="57"/>
      <c r="N218" s="57"/>
      <c r="O218" s="57"/>
      <c r="P218" s="57"/>
      <c r="Q218" s="57"/>
      <c r="R218" s="57"/>
      <c r="S218" s="57"/>
      <c r="T218" s="57"/>
      <c r="U218" s="57"/>
      <c r="V218" s="57"/>
      <c r="W218" s="57"/>
      <c r="X218" s="57"/>
      <c r="Y218" s="98"/>
      <c r="AA218" s="98"/>
      <c r="AR218" s="98"/>
      <c r="AS218" s="57"/>
      <c r="AU218" s="57"/>
      <c r="BF218" s="98"/>
      <c r="BG218" s="98"/>
      <c r="BH218" s="98"/>
      <c r="BI218" s="98"/>
      <c r="BJ218" s="98"/>
      <c r="BK218" s="98"/>
      <c r="BL218" s="98"/>
      <c r="BM218" s="57"/>
    </row>
    <row r="219" spans="1:65" ht="11.25" x14ac:dyDescent="0.2">
      <c r="A219" s="57"/>
      <c r="B219" s="57"/>
      <c r="C219" s="57"/>
      <c r="D219" s="57"/>
      <c r="E219" s="57"/>
      <c r="F219" s="57"/>
      <c r="G219" s="57"/>
      <c r="H219" s="57"/>
      <c r="I219" s="57"/>
      <c r="J219" s="57"/>
      <c r="L219" s="57"/>
      <c r="M219" s="57"/>
      <c r="N219" s="57"/>
      <c r="O219" s="57"/>
      <c r="P219" s="57"/>
      <c r="Q219" s="57"/>
      <c r="R219" s="57"/>
      <c r="S219" s="57"/>
      <c r="T219" s="57"/>
      <c r="U219" s="57"/>
      <c r="V219" s="57"/>
      <c r="W219" s="57"/>
      <c r="X219" s="57"/>
      <c r="Y219" s="98"/>
      <c r="AA219" s="98"/>
      <c r="AR219" s="98"/>
      <c r="AS219" s="57"/>
      <c r="AU219" s="57"/>
      <c r="BF219" s="98"/>
      <c r="BG219" s="98"/>
      <c r="BH219" s="98"/>
      <c r="BI219" s="98"/>
      <c r="BJ219" s="98"/>
      <c r="BK219" s="98"/>
      <c r="BL219" s="98"/>
      <c r="BM219" s="57"/>
    </row>
    <row r="220" spans="1:65" ht="11.25" x14ac:dyDescent="0.2">
      <c r="A220" s="57"/>
      <c r="B220" s="57"/>
      <c r="C220" s="57"/>
      <c r="D220" s="57"/>
      <c r="E220" s="57"/>
      <c r="F220" s="57"/>
      <c r="G220" s="57"/>
      <c r="H220" s="57"/>
      <c r="I220" s="57"/>
      <c r="J220" s="57"/>
      <c r="L220" s="57"/>
      <c r="M220" s="57"/>
      <c r="N220" s="57"/>
      <c r="O220" s="57"/>
      <c r="P220" s="57"/>
      <c r="Q220" s="57"/>
      <c r="R220" s="57"/>
      <c r="S220" s="57"/>
      <c r="T220" s="57"/>
      <c r="U220" s="57"/>
      <c r="V220" s="57"/>
      <c r="W220" s="57"/>
      <c r="X220" s="57"/>
      <c r="Y220" s="98"/>
      <c r="AA220" s="98"/>
      <c r="AR220" s="98"/>
      <c r="AS220" s="57"/>
      <c r="AU220" s="57"/>
      <c r="BF220" s="98"/>
      <c r="BG220" s="98"/>
      <c r="BH220" s="98"/>
      <c r="BI220" s="98"/>
      <c r="BJ220" s="98"/>
      <c r="BK220" s="98"/>
      <c r="BL220" s="98"/>
      <c r="BM220" s="57"/>
    </row>
    <row r="221" spans="1:65" ht="11.25" x14ac:dyDescent="0.2">
      <c r="A221" s="57"/>
      <c r="B221" s="57"/>
      <c r="C221" s="57"/>
      <c r="D221" s="57"/>
      <c r="E221" s="57"/>
      <c r="F221" s="57"/>
      <c r="G221" s="57"/>
      <c r="H221" s="57"/>
      <c r="I221" s="57"/>
      <c r="J221" s="57"/>
      <c r="L221" s="57"/>
      <c r="M221" s="57"/>
      <c r="N221" s="57"/>
      <c r="O221" s="57"/>
      <c r="P221" s="57"/>
      <c r="Q221" s="57"/>
      <c r="R221" s="57"/>
      <c r="S221" s="57"/>
      <c r="T221" s="57"/>
      <c r="U221" s="57"/>
      <c r="V221" s="57"/>
      <c r="W221" s="57"/>
      <c r="X221" s="57"/>
      <c r="Y221" s="98"/>
      <c r="AA221" s="98"/>
      <c r="AR221" s="98"/>
      <c r="AS221" s="57"/>
      <c r="AU221" s="57"/>
      <c r="BF221" s="98"/>
      <c r="BG221" s="98"/>
      <c r="BH221" s="98"/>
      <c r="BI221" s="98"/>
      <c r="BJ221" s="98"/>
      <c r="BK221" s="98"/>
      <c r="BL221" s="98"/>
      <c r="BM221" s="57"/>
    </row>
    <row r="222" spans="1:65" ht="11.25" x14ac:dyDescent="0.2">
      <c r="A222" s="57"/>
      <c r="B222" s="57"/>
      <c r="C222" s="57"/>
      <c r="D222" s="57"/>
      <c r="E222" s="57"/>
      <c r="F222" s="57"/>
      <c r="G222" s="57"/>
      <c r="H222" s="57"/>
      <c r="I222" s="57"/>
      <c r="J222" s="57"/>
      <c r="L222" s="57"/>
      <c r="M222" s="57"/>
      <c r="N222" s="57"/>
      <c r="O222" s="57"/>
      <c r="P222" s="57"/>
      <c r="Q222" s="57"/>
      <c r="R222" s="57"/>
      <c r="S222" s="57"/>
      <c r="T222" s="57"/>
      <c r="U222" s="57"/>
      <c r="V222" s="57"/>
      <c r="W222" s="57"/>
      <c r="X222" s="57"/>
      <c r="Y222" s="98"/>
      <c r="AA222" s="98"/>
      <c r="AR222" s="98"/>
      <c r="AS222" s="57"/>
      <c r="AU222" s="57"/>
      <c r="BF222" s="98"/>
      <c r="BG222" s="98"/>
      <c r="BH222" s="98"/>
      <c r="BI222" s="98"/>
      <c r="BJ222" s="98"/>
      <c r="BK222" s="98"/>
      <c r="BL222" s="98"/>
      <c r="BM222" s="57"/>
    </row>
    <row r="223" spans="1:65" ht="11.25" x14ac:dyDescent="0.2">
      <c r="A223" s="57"/>
      <c r="B223" s="57"/>
      <c r="C223" s="57"/>
      <c r="D223" s="57"/>
      <c r="E223" s="57"/>
      <c r="F223" s="57"/>
      <c r="G223" s="57"/>
      <c r="H223" s="57"/>
      <c r="I223" s="57"/>
      <c r="J223" s="57"/>
      <c r="L223" s="57"/>
      <c r="M223" s="57"/>
      <c r="N223" s="57"/>
      <c r="O223" s="57"/>
      <c r="P223" s="57"/>
      <c r="Q223" s="57"/>
      <c r="R223" s="57"/>
      <c r="S223" s="57"/>
      <c r="T223" s="57"/>
      <c r="U223" s="57"/>
      <c r="V223" s="57"/>
      <c r="W223" s="57"/>
      <c r="X223" s="57"/>
      <c r="Y223" s="98"/>
      <c r="AA223" s="98"/>
      <c r="AR223" s="98"/>
      <c r="AS223" s="57"/>
      <c r="AU223" s="57"/>
      <c r="BF223" s="98"/>
      <c r="BG223" s="98"/>
      <c r="BH223" s="98"/>
      <c r="BI223" s="98"/>
      <c r="BJ223" s="98"/>
      <c r="BK223" s="98"/>
      <c r="BL223" s="98"/>
      <c r="BM223" s="57"/>
    </row>
    <row r="224" spans="1:65" ht="11.25" x14ac:dyDescent="0.2">
      <c r="A224" s="57"/>
      <c r="B224" s="57"/>
      <c r="C224" s="57"/>
      <c r="D224" s="57"/>
      <c r="E224" s="57"/>
      <c r="F224" s="57"/>
      <c r="G224" s="57"/>
      <c r="H224" s="57"/>
      <c r="I224" s="57"/>
      <c r="J224" s="57"/>
      <c r="L224" s="57"/>
      <c r="M224" s="57"/>
      <c r="N224" s="57"/>
      <c r="O224" s="57"/>
      <c r="P224" s="57"/>
      <c r="Q224" s="57"/>
      <c r="R224" s="57"/>
      <c r="S224" s="57"/>
      <c r="T224" s="57"/>
      <c r="U224" s="57"/>
      <c r="V224" s="57"/>
      <c r="W224" s="57"/>
      <c r="X224" s="57"/>
      <c r="Y224" s="98"/>
      <c r="AA224" s="98"/>
      <c r="AR224" s="98"/>
      <c r="AS224" s="57"/>
      <c r="AU224" s="57"/>
      <c r="BF224" s="98"/>
      <c r="BG224" s="98"/>
      <c r="BH224" s="98"/>
      <c r="BI224" s="98"/>
      <c r="BJ224" s="98"/>
      <c r="BK224" s="98"/>
      <c r="BL224" s="98"/>
      <c r="BM224" s="57"/>
    </row>
    <row r="225" spans="1:65" ht="11.25" x14ac:dyDescent="0.2">
      <c r="A225" s="57"/>
      <c r="B225" s="57"/>
      <c r="C225" s="57"/>
      <c r="D225" s="57"/>
      <c r="E225" s="57"/>
      <c r="F225" s="57"/>
      <c r="G225" s="57"/>
      <c r="H225" s="57"/>
      <c r="I225" s="57"/>
      <c r="J225" s="57"/>
      <c r="L225" s="57"/>
      <c r="M225" s="57"/>
      <c r="N225" s="57"/>
      <c r="O225" s="57"/>
      <c r="P225" s="57"/>
      <c r="Q225" s="57"/>
      <c r="R225" s="57"/>
      <c r="S225" s="57"/>
      <c r="T225" s="57"/>
      <c r="U225" s="57"/>
      <c r="V225" s="57"/>
      <c r="W225" s="57"/>
      <c r="X225" s="57"/>
      <c r="Y225" s="98"/>
      <c r="AA225" s="98"/>
      <c r="AR225" s="98"/>
      <c r="AS225" s="57"/>
      <c r="AU225" s="57"/>
      <c r="BF225" s="98"/>
      <c r="BG225" s="98"/>
      <c r="BH225" s="98"/>
      <c r="BI225" s="98"/>
      <c r="BJ225" s="98"/>
      <c r="BK225" s="98"/>
      <c r="BL225" s="98"/>
      <c r="BM225" s="57"/>
    </row>
    <row r="226" spans="1:65" ht="11.25" x14ac:dyDescent="0.2">
      <c r="A226" s="57"/>
      <c r="B226" s="57"/>
      <c r="C226" s="57"/>
      <c r="D226" s="57"/>
      <c r="E226" s="57"/>
      <c r="F226" s="57"/>
      <c r="G226" s="57"/>
      <c r="H226" s="57"/>
      <c r="I226" s="57"/>
      <c r="J226" s="57"/>
      <c r="L226" s="57"/>
      <c r="M226" s="57"/>
      <c r="N226" s="57"/>
      <c r="O226" s="57"/>
      <c r="P226" s="57"/>
      <c r="Q226" s="57"/>
      <c r="R226" s="57"/>
      <c r="S226" s="57"/>
      <c r="T226" s="57"/>
      <c r="U226" s="57"/>
      <c r="V226" s="57"/>
      <c r="W226" s="57"/>
      <c r="X226" s="57"/>
      <c r="Y226" s="98"/>
      <c r="AA226" s="98"/>
      <c r="AR226" s="98"/>
      <c r="AS226" s="57"/>
      <c r="AU226" s="57"/>
      <c r="BF226" s="98"/>
      <c r="BG226" s="98"/>
      <c r="BH226" s="98"/>
      <c r="BI226" s="98"/>
      <c r="BJ226" s="98"/>
      <c r="BK226" s="98"/>
      <c r="BL226" s="98"/>
      <c r="BM226" s="57"/>
    </row>
    <row r="227" spans="1:65" ht="11.25" x14ac:dyDescent="0.2">
      <c r="A227" s="57"/>
      <c r="B227" s="57"/>
      <c r="C227" s="57"/>
      <c r="D227" s="57"/>
      <c r="E227" s="57"/>
      <c r="F227" s="57"/>
      <c r="G227" s="57"/>
      <c r="H227" s="57"/>
      <c r="I227" s="57"/>
      <c r="J227" s="57"/>
      <c r="L227" s="57"/>
      <c r="M227" s="57"/>
      <c r="N227" s="57"/>
      <c r="O227" s="57"/>
      <c r="P227" s="57"/>
      <c r="Q227" s="57"/>
      <c r="R227" s="57"/>
      <c r="S227" s="57"/>
      <c r="T227" s="57"/>
      <c r="U227" s="57"/>
      <c r="V227" s="57"/>
      <c r="W227" s="57"/>
      <c r="X227" s="57"/>
      <c r="Y227" s="98"/>
      <c r="AA227" s="98"/>
      <c r="AR227" s="98"/>
      <c r="AS227" s="57"/>
      <c r="AU227" s="57"/>
      <c r="BF227" s="98"/>
      <c r="BG227" s="98"/>
      <c r="BH227" s="98"/>
      <c r="BI227" s="98"/>
      <c r="BJ227" s="98"/>
      <c r="BK227" s="98"/>
      <c r="BL227" s="98"/>
      <c r="BM227" s="57"/>
    </row>
    <row r="228" spans="1:65" ht="11.25" x14ac:dyDescent="0.2">
      <c r="A228" s="57"/>
      <c r="B228" s="57"/>
      <c r="C228" s="57"/>
      <c r="D228" s="57"/>
      <c r="E228" s="57"/>
      <c r="F228" s="57"/>
      <c r="G228" s="57"/>
      <c r="H228" s="57"/>
      <c r="I228" s="57"/>
      <c r="J228" s="57"/>
      <c r="L228" s="57"/>
      <c r="M228" s="57"/>
      <c r="N228" s="57"/>
      <c r="O228" s="57"/>
      <c r="P228" s="57"/>
      <c r="Q228" s="57"/>
      <c r="R228" s="57"/>
      <c r="S228" s="57"/>
      <c r="T228" s="57"/>
      <c r="U228" s="57"/>
      <c r="V228" s="57"/>
      <c r="W228" s="57"/>
      <c r="X228" s="57"/>
      <c r="Y228" s="98"/>
      <c r="AA228" s="98"/>
      <c r="AR228" s="98"/>
      <c r="AS228" s="57"/>
      <c r="AU228" s="57"/>
      <c r="BF228" s="98"/>
      <c r="BG228" s="98"/>
      <c r="BH228" s="98"/>
      <c r="BI228" s="98"/>
      <c r="BJ228" s="98"/>
      <c r="BK228" s="98"/>
      <c r="BL228" s="98"/>
      <c r="BM228" s="57"/>
    </row>
    <row r="229" spans="1:65" ht="11.25" x14ac:dyDescent="0.2">
      <c r="A229" s="57"/>
      <c r="B229" s="57"/>
      <c r="C229" s="57"/>
      <c r="D229" s="57"/>
      <c r="E229" s="57"/>
      <c r="F229" s="57"/>
      <c r="G229" s="57"/>
      <c r="H229" s="57"/>
      <c r="I229" s="57"/>
      <c r="J229" s="57"/>
      <c r="L229" s="57"/>
      <c r="M229" s="57"/>
      <c r="N229" s="57"/>
      <c r="O229" s="57"/>
      <c r="P229" s="57"/>
      <c r="Q229" s="57"/>
      <c r="R229" s="57"/>
      <c r="S229" s="57"/>
      <c r="T229" s="57"/>
      <c r="U229" s="57"/>
      <c r="V229" s="57"/>
      <c r="W229" s="57"/>
      <c r="X229" s="57"/>
      <c r="Y229" s="98"/>
      <c r="AA229" s="98"/>
      <c r="AR229" s="98"/>
      <c r="AS229" s="57"/>
      <c r="AU229" s="57"/>
      <c r="BF229" s="98"/>
      <c r="BG229" s="98"/>
      <c r="BH229" s="98"/>
      <c r="BI229" s="98"/>
      <c r="BJ229" s="98"/>
      <c r="BK229" s="98"/>
      <c r="BL229" s="98"/>
      <c r="BM229" s="57"/>
    </row>
    <row r="230" spans="1:65" ht="11.25" x14ac:dyDescent="0.2">
      <c r="A230" s="57"/>
      <c r="B230" s="57"/>
      <c r="C230" s="57"/>
      <c r="D230" s="57"/>
      <c r="E230" s="57"/>
      <c r="F230" s="57"/>
      <c r="G230" s="57"/>
      <c r="H230" s="57"/>
      <c r="I230" s="57"/>
      <c r="J230" s="57"/>
      <c r="L230" s="57"/>
      <c r="M230" s="57"/>
      <c r="N230" s="57"/>
      <c r="O230" s="57"/>
      <c r="P230" s="57"/>
      <c r="Q230" s="57"/>
      <c r="R230" s="57"/>
      <c r="S230" s="57"/>
      <c r="T230" s="57"/>
      <c r="U230" s="57"/>
      <c r="V230" s="57"/>
      <c r="W230" s="57"/>
      <c r="X230" s="57"/>
      <c r="Y230" s="98"/>
      <c r="AA230" s="98"/>
      <c r="AR230" s="98"/>
      <c r="AS230" s="57"/>
      <c r="AU230" s="57"/>
      <c r="BF230" s="98"/>
      <c r="BG230" s="98"/>
      <c r="BH230" s="98"/>
      <c r="BI230" s="98"/>
      <c r="BJ230" s="98"/>
      <c r="BK230" s="98"/>
      <c r="BL230" s="98"/>
      <c r="BM230" s="57"/>
    </row>
    <row r="231" spans="1:65" ht="11.25" x14ac:dyDescent="0.2">
      <c r="A231" s="57"/>
      <c r="B231" s="57"/>
      <c r="C231" s="57"/>
      <c r="D231" s="57"/>
      <c r="E231" s="57"/>
      <c r="F231" s="57"/>
      <c r="G231" s="57"/>
      <c r="H231" s="57"/>
      <c r="I231" s="57"/>
      <c r="J231" s="57"/>
      <c r="L231" s="57"/>
      <c r="M231" s="57"/>
      <c r="N231" s="57"/>
      <c r="O231" s="57"/>
      <c r="P231" s="57"/>
      <c r="Q231" s="57"/>
      <c r="R231" s="57"/>
      <c r="S231" s="57"/>
      <c r="T231" s="57"/>
      <c r="U231" s="57"/>
      <c r="V231" s="57"/>
      <c r="W231" s="57"/>
      <c r="X231" s="57"/>
      <c r="Y231" s="98"/>
      <c r="AA231" s="98"/>
      <c r="AR231" s="98"/>
      <c r="AS231" s="57"/>
      <c r="AU231" s="57"/>
      <c r="BF231" s="98"/>
      <c r="BG231" s="98"/>
      <c r="BH231" s="98"/>
      <c r="BI231" s="98"/>
      <c r="BJ231" s="98"/>
      <c r="BK231" s="98"/>
      <c r="BL231" s="98"/>
      <c r="BM231" s="57"/>
    </row>
    <row r="232" spans="1:65" ht="11.25" x14ac:dyDescent="0.2">
      <c r="A232" s="57"/>
      <c r="B232" s="57"/>
      <c r="C232" s="57"/>
      <c r="D232" s="57"/>
      <c r="E232" s="57"/>
      <c r="F232" s="57"/>
      <c r="G232" s="57"/>
      <c r="H232" s="57"/>
      <c r="I232" s="57"/>
      <c r="J232" s="57"/>
      <c r="L232" s="57"/>
      <c r="M232" s="57"/>
      <c r="N232" s="57"/>
      <c r="O232" s="57"/>
      <c r="P232" s="57"/>
      <c r="Q232" s="57"/>
      <c r="R232" s="57"/>
      <c r="S232" s="57"/>
      <c r="T232" s="57"/>
      <c r="U232" s="57"/>
      <c r="V232" s="57"/>
      <c r="W232" s="57"/>
      <c r="X232" s="57"/>
      <c r="Y232" s="98"/>
      <c r="AA232" s="98"/>
      <c r="AR232" s="98"/>
      <c r="AS232" s="57"/>
      <c r="AU232" s="57"/>
      <c r="BF232" s="98"/>
      <c r="BG232" s="98"/>
      <c r="BH232" s="98"/>
      <c r="BI232" s="98"/>
      <c r="BJ232" s="98"/>
      <c r="BK232" s="98"/>
      <c r="BL232" s="98"/>
      <c r="BM232" s="57"/>
    </row>
    <row r="233" spans="1:65" ht="11.25" x14ac:dyDescent="0.2">
      <c r="A233" s="57"/>
      <c r="B233" s="57"/>
      <c r="C233" s="57"/>
      <c r="D233" s="57"/>
      <c r="E233" s="57"/>
      <c r="F233" s="57"/>
      <c r="G233" s="57"/>
      <c r="H233" s="57"/>
      <c r="I233" s="57"/>
      <c r="J233" s="57"/>
      <c r="L233" s="57"/>
      <c r="M233" s="57"/>
      <c r="N233" s="57"/>
      <c r="O233" s="57"/>
      <c r="P233" s="57"/>
      <c r="Q233" s="57"/>
      <c r="R233" s="57"/>
      <c r="S233" s="57"/>
      <c r="T233" s="57"/>
      <c r="U233" s="57"/>
      <c r="V233" s="57"/>
      <c r="W233" s="57"/>
      <c r="X233" s="57"/>
      <c r="Y233" s="98"/>
      <c r="AA233" s="98"/>
      <c r="AR233" s="98"/>
      <c r="AS233" s="57"/>
      <c r="AU233" s="57"/>
      <c r="BF233" s="98"/>
      <c r="BG233" s="98"/>
      <c r="BH233" s="98"/>
      <c r="BI233" s="98"/>
      <c r="BJ233" s="98"/>
      <c r="BK233" s="98"/>
      <c r="BL233" s="98"/>
      <c r="BM233" s="57"/>
    </row>
    <row r="234" spans="1:65" ht="11.25" x14ac:dyDescent="0.2">
      <c r="A234" s="57"/>
      <c r="B234" s="57"/>
      <c r="C234" s="57"/>
      <c r="D234" s="57"/>
      <c r="E234" s="57"/>
      <c r="F234" s="57"/>
      <c r="G234" s="57"/>
      <c r="H234" s="57"/>
      <c r="I234" s="57"/>
      <c r="J234" s="57"/>
      <c r="L234" s="57"/>
      <c r="M234" s="57"/>
      <c r="N234" s="57"/>
      <c r="O234" s="57"/>
      <c r="P234" s="57"/>
      <c r="Q234" s="57"/>
      <c r="R234" s="57"/>
      <c r="S234" s="57"/>
      <c r="T234" s="57"/>
      <c r="U234" s="57"/>
      <c r="V234" s="57"/>
      <c r="W234" s="57"/>
      <c r="X234" s="57"/>
      <c r="Y234" s="98"/>
      <c r="AA234" s="98"/>
      <c r="AR234" s="98"/>
      <c r="AS234" s="57"/>
      <c r="AU234" s="57"/>
      <c r="BF234" s="98"/>
      <c r="BG234" s="98"/>
      <c r="BH234" s="98"/>
      <c r="BI234" s="98"/>
      <c r="BJ234" s="98"/>
      <c r="BK234" s="98"/>
      <c r="BL234" s="98"/>
      <c r="BM234" s="57"/>
    </row>
    <row r="235" spans="1:65" ht="11.25" x14ac:dyDescent="0.2">
      <c r="A235" s="57"/>
      <c r="B235" s="57"/>
      <c r="C235" s="57"/>
      <c r="D235" s="57"/>
      <c r="E235" s="57"/>
      <c r="F235" s="57"/>
      <c r="G235" s="57"/>
      <c r="H235" s="57"/>
      <c r="I235" s="57"/>
      <c r="J235" s="57"/>
      <c r="L235" s="57"/>
      <c r="M235" s="57"/>
      <c r="N235" s="57"/>
      <c r="O235" s="57"/>
      <c r="P235" s="57"/>
      <c r="Q235" s="57"/>
      <c r="R235" s="57"/>
      <c r="S235" s="57"/>
      <c r="T235" s="57"/>
      <c r="U235" s="57"/>
      <c r="V235" s="57"/>
      <c r="W235" s="57"/>
      <c r="X235" s="57"/>
      <c r="Y235" s="98"/>
      <c r="AA235" s="98"/>
      <c r="AR235" s="98"/>
      <c r="AS235" s="57"/>
      <c r="AU235" s="57"/>
      <c r="BF235" s="98"/>
      <c r="BG235" s="98"/>
      <c r="BH235" s="98"/>
      <c r="BI235" s="98"/>
      <c r="BJ235" s="98"/>
      <c r="BK235" s="98"/>
      <c r="BL235" s="98"/>
      <c r="BM235" s="57"/>
    </row>
    <row r="236" spans="1:65" ht="11.25" x14ac:dyDescent="0.2">
      <c r="A236" s="57"/>
      <c r="B236" s="57"/>
      <c r="C236" s="57"/>
      <c r="D236" s="57"/>
      <c r="E236" s="57"/>
      <c r="F236" s="57"/>
      <c r="G236" s="57"/>
      <c r="H236" s="57"/>
      <c r="I236" s="57"/>
      <c r="J236" s="57"/>
      <c r="L236" s="57"/>
      <c r="M236" s="57"/>
      <c r="N236" s="57"/>
      <c r="O236" s="57"/>
      <c r="P236" s="57"/>
      <c r="Q236" s="57"/>
      <c r="R236" s="57"/>
      <c r="S236" s="57"/>
      <c r="T236" s="57"/>
      <c r="U236" s="57"/>
      <c r="V236" s="57"/>
      <c r="W236" s="57"/>
      <c r="X236" s="57"/>
      <c r="Y236" s="98"/>
      <c r="AA236" s="98"/>
      <c r="AR236" s="98"/>
      <c r="AS236" s="57"/>
      <c r="AU236" s="57"/>
      <c r="BF236" s="98"/>
      <c r="BG236" s="98"/>
      <c r="BH236" s="98"/>
      <c r="BI236" s="98"/>
      <c r="BJ236" s="98"/>
      <c r="BK236" s="98"/>
      <c r="BL236" s="98"/>
      <c r="BM236" s="57"/>
    </row>
    <row r="237" spans="1:65" ht="11.25" x14ac:dyDescent="0.2">
      <c r="A237" s="57"/>
      <c r="B237" s="57"/>
      <c r="C237" s="57"/>
      <c r="D237" s="57"/>
      <c r="E237" s="57"/>
      <c r="F237" s="57"/>
      <c r="G237" s="57"/>
      <c r="H237" s="57"/>
      <c r="I237" s="57"/>
      <c r="J237" s="57"/>
      <c r="L237" s="57"/>
      <c r="M237" s="57"/>
      <c r="N237" s="57"/>
      <c r="O237" s="57"/>
      <c r="P237" s="57"/>
      <c r="Q237" s="57"/>
      <c r="R237" s="57"/>
      <c r="S237" s="57"/>
      <c r="T237" s="57"/>
      <c r="U237" s="57"/>
      <c r="V237" s="57"/>
      <c r="W237" s="57"/>
      <c r="X237" s="57"/>
      <c r="Y237" s="98"/>
      <c r="AA237" s="98"/>
      <c r="AR237" s="98"/>
      <c r="AS237" s="57"/>
      <c r="AU237" s="57"/>
      <c r="BF237" s="98"/>
      <c r="BG237" s="98"/>
      <c r="BH237" s="98"/>
      <c r="BI237" s="98"/>
      <c r="BJ237" s="98"/>
      <c r="BK237" s="98"/>
      <c r="BL237" s="98"/>
      <c r="BM237" s="57"/>
    </row>
    <row r="238" spans="1:65" ht="11.25" x14ac:dyDescent="0.2">
      <c r="A238" s="57"/>
      <c r="B238" s="57"/>
      <c r="C238" s="57"/>
      <c r="D238" s="57"/>
      <c r="E238" s="57"/>
      <c r="F238" s="57"/>
      <c r="G238" s="57"/>
      <c r="H238" s="57"/>
      <c r="I238" s="57"/>
      <c r="J238" s="57"/>
      <c r="L238" s="57"/>
      <c r="M238" s="57"/>
      <c r="N238" s="57"/>
      <c r="O238" s="57"/>
      <c r="P238" s="57"/>
      <c r="Q238" s="57"/>
      <c r="R238" s="57"/>
      <c r="S238" s="57"/>
      <c r="T238" s="57"/>
      <c r="U238" s="57"/>
      <c r="V238" s="57"/>
      <c r="W238" s="57"/>
      <c r="X238" s="57"/>
      <c r="Y238" s="98"/>
      <c r="AA238" s="98"/>
      <c r="AR238" s="98"/>
      <c r="AS238" s="57"/>
      <c r="AU238" s="57"/>
      <c r="BF238" s="98"/>
      <c r="BG238" s="98"/>
      <c r="BH238" s="98"/>
      <c r="BI238" s="98"/>
      <c r="BJ238" s="98"/>
      <c r="BK238" s="98"/>
      <c r="BL238" s="98"/>
      <c r="BM238" s="57"/>
    </row>
    <row r="239" spans="1:65" ht="11.25" x14ac:dyDescent="0.2">
      <c r="A239" s="57"/>
      <c r="B239" s="57"/>
      <c r="C239" s="57"/>
      <c r="D239" s="57"/>
      <c r="E239" s="57"/>
      <c r="F239" s="57"/>
      <c r="G239" s="57"/>
      <c r="H239" s="57"/>
      <c r="I239" s="57"/>
      <c r="J239" s="57"/>
      <c r="L239" s="57"/>
      <c r="M239" s="57"/>
      <c r="N239" s="57"/>
      <c r="O239" s="57"/>
      <c r="P239" s="57"/>
      <c r="Q239" s="57"/>
      <c r="R239" s="57"/>
      <c r="S239" s="57"/>
      <c r="T239" s="57"/>
      <c r="U239" s="57"/>
      <c r="V239" s="57"/>
      <c r="W239" s="57"/>
      <c r="X239" s="57"/>
      <c r="Y239" s="98"/>
      <c r="AA239" s="98"/>
      <c r="AR239" s="98"/>
      <c r="AS239" s="57"/>
      <c r="AU239" s="57"/>
      <c r="BF239" s="98"/>
      <c r="BG239" s="98"/>
      <c r="BH239" s="98"/>
      <c r="BI239" s="98"/>
      <c r="BJ239" s="98"/>
      <c r="BK239" s="98"/>
      <c r="BL239" s="98"/>
      <c r="BM239" s="57"/>
    </row>
    <row r="240" spans="1:65" ht="11.25" x14ac:dyDescent="0.2">
      <c r="A240" s="57"/>
      <c r="B240" s="57"/>
      <c r="C240" s="57"/>
      <c r="D240" s="57"/>
      <c r="E240" s="57"/>
      <c r="F240" s="57"/>
      <c r="G240" s="57"/>
      <c r="H240" s="57"/>
      <c r="I240" s="57"/>
      <c r="J240" s="57"/>
      <c r="L240" s="57"/>
      <c r="M240" s="57"/>
      <c r="N240" s="57"/>
      <c r="O240" s="57"/>
      <c r="P240" s="57"/>
      <c r="Q240" s="57"/>
      <c r="R240" s="57"/>
      <c r="S240" s="57"/>
      <c r="T240" s="57"/>
      <c r="U240" s="57"/>
      <c r="V240" s="57"/>
      <c r="W240" s="57"/>
      <c r="X240" s="57"/>
      <c r="Y240" s="98"/>
      <c r="AA240" s="98"/>
      <c r="AR240" s="98"/>
      <c r="AS240" s="57"/>
      <c r="AU240" s="57"/>
      <c r="BF240" s="98"/>
      <c r="BG240" s="98"/>
      <c r="BH240" s="98"/>
      <c r="BI240" s="98"/>
      <c r="BJ240" s="98"/>
      <c r="BK240" s="98"/>
      <c r="BL240" s="98"/>
      <c r="BM240" s="57"/>
    </row>
    <row r="241" spans="1:65" ht="11.25" x14ac:dyDescent="0.2">
      <c r="A241" s="57"/>
      <c r="B241" s="57"/>
      <c r="C241" s="57"/>
      <c r="D241" s="57"/>
      <c r="E241" s="57"/>
      <c r="F241" s="57"/>
      <c r="G241" s="57"/>
      <c r="H241" s="57"/>
      <c r="I241" s="57"/>
      <c r="J241" s="57"/>
      <c r="L241" s="57"/>
      <c r="M241" s="57"/>
      <c r="N241" s="57"/>
      <c r="O241" s="57"/>
      <c r="P241" s="57"/>
      <c r="Q241" s="57"/>
      <c r="R241" s="57"/>
      <c r="S241" s="57"/>
      <c r="T241" s="57"/>
      <c r="U241" s="57"/>
      <c r="V241" s="57"/>
      <c r="W241" s="57"/>
      <c r="X241" s="57"/>
      <c r="Y241" s="98"/>
      <c r="AA241" s="98"/>
      <c r="AR241" s="98"/>
      <c r="AS241" s="57"/>
      <c r="AU241" s="57"/>
      <c r="BF241" s="98"/>
      <c r="BG241" s="98"/>
      <c r="BH241" s="98"/>
      <c r="BI241" s="98"/>
      <c r="BJ241" s="98"/>
      <c r="BK241" s="98"/>
      <c r="BL241" s="98"/>
      <c r="BM241" s="57"/>
    </row>
    <row r="242" spans="1:65" ht="11.25" x14ac:dyDescent="0.2">
      <c r="A242" s="57"/>
      <c r="B242" s="57"/>
      <c r="C242" s="57"/>
      <c r="D242" s="57"/>
      <c r="E242" s="57"/>
      <c r="F242" s="57"/>
      <c r="G242" s="57"/>
      <c r="H242" s="57"/>
      <c r="I242" s="57"/>
      <c r="J242" s="57"/>
      <c r="L242" s="57"/>
      <c r="M242" s="57"/>
      <c r="N242" s="57"/>
      <c r="O242" s="57"/>
      <c r="P242" s="57"/>
      <c r="Q242" s="57"/>
      <c r="R242" s="57"/>
      <c r="S242" s="57"/>
      <c r="T242" s="57"/>
      <c r="U242" s="57"/>
      <c r="V242" s="57"/>
      <c r="W242" s="57"/>
      <c r="X242" s="57"/>
      <c r="Y242" s="98"/>
      <c r="AA242" s="98"/>
      <c r="AR242" s="98"/>
      <c r="AS242" s="57"/>
      <c r="AU242" s="57"/>
      <c r="BF242" s="98"/>
      <c r="BG242" s="98"/>
      <c r="BH242" s="98"/>
      <c r="BI242" s="98"/>
      <c r="BJ242" s="98"/>
      <c r="BK242" s="98"/>
      <c r="BL242" s="98"/>
      <c r="BM242" s="57"/>
    </row>
    <row r="243" spans="1:65" ht="11.25" x14ac:dyDescent="0.2">
      <c r="A243" s="57"/>
      <c r="B243" s="57"/>
      <c r="C243" s="57"/>
      <c r="D243" s="57"/>
      <c r="E243" s="57"/>
      <c r="F243" s="57"/>
      <c r="G243" s="57"/>
      <c r="H243" s="57"/>
      <c r="I243" s="57"/>
      <c r="J243" s="57"/>
      <c r="L243" s="57"/>
      <c r="M243" s="57"/>
      <c r="N243" s="57"/>
      <c r="O243" s="57"/>
      <c r="P243" s="57"/>
      <c r="Q243" s="57"/>
      <c r="R243" s="57"/>
      <c r="S243" s="57"/>
      <c r="T243" s="57"/>
      <c r="U243" s="57"/>
      <c r="V243" s="57"/>
      <c r="W243" s="57"/>
      <c r="X243" s="57"/>
      <c r="Y243" s="98"/>
      <c r="AA243" s="98"/>
      <c r="AR243" s="98"/>
      <c r="AS243" s="57"/>
      <c r="AU243" s="57"/>
      <c r="BF243" s="98"/>
      <c r="BG243" s="98"/>
      <c r="BH243" s="98"/>
      <c r="BI243" s="98"/>
      <c r="BJ243" s="98"/>
      <c r="BK243" s="98"/>
      <c r="BL243" s="98"/>
      <c r="BM243" s="57"/>
    </row>
    <row r="244" spans="1:65" ht="11.25" x14ac:dyDescent="0.2">
      <c r="A244" s="57"/>
      <c r="B244" s="57"/>
      <c r="C244" s="57"/>
      <c r="D244" s="57"/>
      <c r="E244" s="57"/>
      <c r="F244" s="57"/>
      <c r="G244" s="57"/>
      <c r="H244" s="57"/>
      <c r="I244" s="57"/>
      <c r="J244" s="57"/>
      <c r="L244" s="57"/>
      <c r="M244" s="57"/>
      <c r="N244" s="57"/>
      <c r="O244" s="57"/>
      <c r="P244" s="57"/>
      <c r="Q244" s="57"/>
      <c r="R244" s="57"/>
      <c r="S244" s="57"/>
      <c r="T244" s="57"/>
      <c r="U244" s="57"/>
      <c r="V244" s="57"/>
      <c r="W244" s="57"/>
      <c r="X244" s="57"/>
      <c r="Y244" s="98"/>
      <c r="AA244" s="98"/>
      <c r="AR244" s="98"/>
      <c r="AS244" s="57"/>
      <c r="AU244" s="57"/>
      <c r="BF244" s="98"/>
      <c r="BG244" s="98"/>
      <c r="BH244" s="98"/>
      <c r="BI244" s="98"/>
      <c r="BJ244" s="98"/>
      <c r="BK244" s="98"/>
      <c r="BL244" s="98"/>
      <c r="BM244" s="57"/>
    </row>
    <row r="245" spans="1:65" ht="11.25" x14ac:dyDescent="0.2">
      <c r="A245" s="57"/>
      <c r="B245" s="57"/>
      <c r="C245" s="57"/>
      <c r="D245" s="57"/>
      <c r="E245" s="57"/>
      <c r="F245" s="57"/>
      <c r="G245" s="57"/>
      <c r="H245" s="57"/>
      <c r="I245" s="57"/>
      <c r="J245" s="57"/>
      <c r="L245" s="57"/>
      <c r="M245" s="57"/>
      <c r="N245" s="57"/>
      <c r="O245" s="57"/>
      <c r="P245" s="57"/>
      <c r="Q245" s="57"/>
      <c r="R245" s="57"/>
      <c r="S245" s="57"/>
      <c r="T245" s="57"/>
      <c r="U245" s="57"/>
      <c r="V245" s="57"/>
      <c r="W245" s="57"/>
      <c r="X245" s="57"/>
      <c r="Y245" s="98"/>
      <c r="AA245" s="98"/>
      <c r="AR245" s="98"/>
      <c r="AS245" s="57"/>
      <c r="AU245" s="57"/>
      <c r="BF245" s="98"/>
      <c r="BG245" s="98"/>
      <c r="BH245" s="98"/>
      <c r="BI245" s="98"/>
      <c r="BJ245" s="98"/>
      <c r="BK245" s="98"/>
      <c r="BL245" s="98"/>
      <c r="BM245" s="57"/>
    </row>
    <row r="246" spans="1:65" ht="11.25" x14ac:dyDescent="0.2">
      <c r="A246" s="57"/>
      <c r="B246" s="57"/>
      <c r="C246" s="57"/>
      <c r="D246" s="57"/>
      <c r="E246" s="57"/>
      <c r="F246" s="57"/>
      <c r="G246" s="57"/>
      <c r="H246" s="57"/>
      <c r="I246" s="57"/>
      <c r="J246" s="57"/>
      <c r="L246" s="57"/>
      <c r="M246" s="57"/>
      <c r="N246" s="57"/>
      <c r="O246" s="57"/>
      <c r="P246" s="57"/>
      <c r="Q246" s="57"/>
      <c r="R246" s="57"/>
      <c r="S246" s="57"/>
      <c r="T246" s="57"/>
      <c r="U246" s="57"/>
      <c r="V246" s="57"/>
      <c r="W246" s="57"/>
      <c r="X246" s="57"/>
      <c r="Y246" s="98"/>
      <c r="AA246" s="98"/>
      <c r="AR246" s="98"/>
      <c r="AS246" s="57"/>
      <c r="AU246" s="57"/>
      <c r="BF246" s="98"/>
      <c r="BG246" s="98"/>
      <c r="BH246" s="98"/>
      <c r="BI246" s="98"/>
      <c r="BJ246" s="98"/>
      <c r="BK246" s="98"/>
      <c r="BL246" s="98"/>
      <c r="BM246" s="57"/>
    </row>
    <row r="247" spans="1:65" ht="11.25" x14ac:dyDescent="0.2">
      <c r="A247" s="57"/>
      <c r="B247" s="57"/>
      <c r="C247" s="57"/>
      <c r="D247" s="57"/>
      <c r="E247" s="57"/>
      <c r="F247" s="57"/>
      <c r="G247" s="57"/>
      <c r="H247" s="57"/>
      <c r="I247" s="57"/>
      <c r="J247" s="57"/>
      <c r="L247" s="57"/>
      <c r="M247" s="57"/>
      <c r="N247" s="57"/>
      <c r="O247" s="57"/>
      <c r="P247" s="57"/>
      <c r="Q247" s="57"/>
      <c r="R247" s="57"/>
      <c r="S247" s="57"/>
      <c r="T247" s="57"/>
      <c r="U247" s="57"/>
      <c r="V247" s="57"/>
      <c r="W247" s="57"/>
      <c r="X247" s="57"/>
      <c r="Y247" s="98"/>
      <c r="AA247" s="98"/>
      <c r="AR247" s="98"/>
      <c r="AS247" s="57"/>
      <c r="AU247" s="57"/>
      <c r="BF247" s="98"/>
      <c r="BG247" s="98"/>
      <c r="BH247" s="98"/>
      <c r="BI247" s="98"/>
      <c r="BJ247" s="98"/>
      <c r="BK247" s="98"/>
      <c r="BL247" s="98"/>
      <c r="BM247" s="57"/>
    </row>
    <row r="248" spans="1:65" ht="11.25" x14ac:dyDescent="0.2">
      <c r="A248" s="57"/>
      <c r="B248" s="57"/>
      <c r="C248" s="57"/>
      <c r="D248" s="57"/>
      <c r="E248" s="57"/>
      <c r="F248" s="57"/>
      <c r="G248" s="57"/>
      <c r="H248" s="57"/>
      <c r="I248" s="57"/>
      <c r="J248" s="57"/>
      <c r="L248" s="57"/>
      <c r="M248" s="57"/>
      <c r="N248" s="57"/>
      <c r="O248" s="57"/>
      <c r="P248" s="57"/>
      <c r="Q248" s="57"/>
      <c r="R248" s="57"/>
      <c r="S248" s="57"/>
      <c r="T248" s="57"/>
      <c r="U248" s="57"/>
      <c r="V248" s="57"/>
      <c r="W248" s="57"/>
      <c r="X248" s="57"/>
      <c r="Y248" s="98"/>
      <c r="AA248" s="98"/>
      <c r="AR248" s="98"/>
      <c r="AS248" s="57"/>
      <c r="AU248" s="57"/>
      <c r="BF248" s="98"/>
      <c r="BG248" s="98"/>
      <c r="BH248" s="98"/>
      <c r="BI248" s="98"/>
      <c r="BJ248" s="98"/>
      <c r="BK248" s="98"/>
      <c r="BL248" s="98"/>
      <c r="BM248" s="57"/>
    </row>
    <row r="249" spans="1:65" ht="11.25" x14ac:dyDescent="0.2">
      <c r="A249" s="57"/>
      <c r="B249" s="57"/>
      <c r="C249" s="57"/>
      <c r="D249" s="57"/>
      <c r="E249" s="57"/>
      <c r="F249" s="57"/>
      <c r="G249" s="57"/>
      <c r="H249" s="57"/>
      <c r="I249" s="57"/>
      <c r="J249" s="57"/>
      <c r="L249" s="57"/>
      <c r="M249" s="57"/>
      <c r="N249" s="57"/>
      <c r="O249" s="57"/>
      <c r="P249" s="57"/>
      <c r="Q249" s="57"/>
      <c r="R249" s="57"/>
      <c r="S249" s="57"/>
      <c r="T249" s="57"/>
      <c r="U249" s="57"/>
      <c r="V249" s="57"/>
      <c r="W249" s="57"/>
      <c r="X249" s="57"/>
      <c r="Y249" s="98"/>
      <c r="AA249" s="98"/>
      <c r="AR249" s="98"/>
      <c r="AS249" s="57"/>
      <c r="AU249" s="57"/>
      <c r="BF249" s="98"/>
      <c r="BG249" s="98"/>
      <c r="BH249" s="98"/>
      <c r="BI249" s="98"/>
      <c r="BJ249" s="98"/>
      <c r="BK249" s="98"/>
      <c r="BL249" s="98"/>
      <c r="BM249" s="57"/>
    </row>
    <row r="250" spans="1:65" ht="11.25" x14ac:dyDescent="0.2">
      <c r="A250" s="57"/>
      <c r="B250" s="57"/>
      <c r="C250" s="57"/>
      <c r="D250" s="57"/>
      <c r="E250" s="57"/>
      <c r="F250" s="57"/>
      <c r="G250" s="57"/>
      <c r="H250" s="57"/>
      <c r="I250" s="57"/>
      <c r="J250" s="57"/>
      <c r="L250" s="57"/>
      <c r="M250" s="57"/>
      <c r="N250" s="57"/>
      <c r="O250" s="57"/>
      <c r="P250" s="57"/>
      <c r="Q250" s="57"/>
      <c r="R250" s="57"/>
      <c r="S250" s="57"/>
      <c r="T250" s="57"/>
      <c r="U250" s="57"/>
      <c r="V250" s="57"/>
      <c r="W250" s="57"/>
      <c r="X250" s="57"/>
      <c r="Y250" s="98"/>
      <c r="AA250" s="98"/>
      <c r="AR250" s="98"/>
      <c r="AS250" s="57"/>
      <c r="AU250" s="57"/>
      <c r="BF250" s="98"/>
      <c r="BG250" s="98"/>
      <c r="BH250" s="98"/>
      <c r="BI250" s="98"/>
      <c r="BJ250" s="98"/>
      <c r="BK250" s="98"/>
      <c r="BL250" s="98"/>
      <c r="BM250" s="57"/>
    </row>
    <row r="251" spans="1:65" ht="11.25" x14ac:dyDescent="0.2">
      <c r="A251" s="57"/>
      <c r="B251" s="57"/>
      <c r="C251" s="57"/>
      <c r="D251" s="57"/>
      <c r="E251" s="57"/>
      <c r="F251" s="57"/>
      <c r="G251" s="57"/>
      <c r="H251" s="57"/>
      <c r="I251" s="57"/>
      <c r="J251" s="57"/>
      <c r="L251" s="57"/>
      <c r="M251" s="57"/>
      <c r="N251" s="57"/>
      <c r="O251" s="57"/>
      <c r="P251" s="57"/>
      <c r="Q251" s="57"/>
      <c r="R251" s="57"/>
      <c r="S251" s="57"/>
      <c r="T251" s="57"/>
      <c r="U251" s="57"/>
      <c r="V251" s="57"/>
      <c r="W251" s="57"/>
      <c r="X251" s="57"/>
      <c r="Y251" s="98"/>
      <c r="AA251" s="98"/>
      <c r="AR251" s="98"/>
      <c r="AS251" s="57"/>
      <c r="AU251" s="57"/>
      <c r="BF251" s="98"/>
      <c r="BG251" s="98"/>
      <c r="BH251" s="98"/>
      <c r="BI251" s="98"/>
      <c r="BJ251" s="98"/>
      <c r="BK251" s="98"/>
      <c r="BL251" s="98"/>
      <c r="BM251" s="57"/>
    </row>
    <row r="252" spans="1:65" ht="11.25" x14ac:dyDescent="0.2">
      <c r="A252" s="57"/>
      <c r="B252" s="57"/>
      <c r="C252" s="57"/>
      <c r="D252" s="57"/>
      <c r="E252" s="57"/>
      <c r="F252" s="57"/>
      <c r="G252" s="57"/>
      <c r="H252" s="57"/>
      <c r="I252" s="57"/>
      <c r="J252" s="57"/>
      <c r="L252" s="57"/>
      <c r="M252" s="57"/>
      <c r="N252" s="57"/>
      <c r="O252" s="57"/>
      <c r="P252" s="57"/>
      <c r="Q252" s="57"/>
      <c r="R252" s="57"/>
      <c r="S252" s="57"/>
      <c r="T252" s="57"/>
      <c r="U252" s="57"/>
      <c r="V252" s="57"/>
      <c r="W252" s="57"/>
      <c r="X252" s="57"/>
      <c r="Y252" s="98"/>
      <c r="AA252" s="98"/>
      <c r="AR252" s="98"/>
      <c r="AS252" s="57"/>
      <c r="AU252" s="57"/>
      <c r="BF252" s="98"/>
      <c r="BG252" s="98"/>
      <c r="BH252" s="98"/>
      <c r="BI252" s="98"/>
      <c r="BJ252" s="98"/>
      <c r="BK252" s="98"/>
      <c r="BL252" s="98"/>
      <c r="BM252" s="57"/>
    </row>
    <row r="253" spans="1:65" ht="11.25" x14ac:dyDescent="0.2">
      <c r="A253" s="57"/>
      <c r="B253" s="57"/>
      <c r="C253" s="57"/>
      <c r="D253" s="57"/>
      <c r="E253" s="57"/>
      <c r="F253" s="57"/>
      <c r="G253" s="57"/>
      <c r="H253" s="57"/>
      <c r="I253" s="57"/>
      <c r="J253" s="57"/>
      <c r="L253" s="57"/>
      <c r="M253" s="57"/>
      <c r="N253" s="57"/>
      <c r="O253" s="57"/>
      <c r="P253" s="57"/>
      <c r="Q253" s="57"/>
      <c r="R253" s="57"/>
      <c r="S253" s="57"/>
      <c r="T253" s="57"/>
      <c r="U253" s="57"/>
      <c r="V253" s="57"/>
      <c r="W253" s="57"/>
      <c r="X253" s="57"/>
      <c r="Y253" s="98"/>
      <c r="AA253" s="98"/>
      <c r="AR253" s="98"/>
      <c r="AS253" s="57"/>
      <c r="AU253" s="57"/>
      <c r="BF253" s="98"/>
      <c r="BG253" s="98"/>
      <c r="BH253" s="98"/>
      <c r="BI253" s="98"/>
      <c r="BJ253" s="98"/>
      <c r="BK253" s="98"/>
      <c r="BL253" s="98"/>
      <c r="BM253" s="57"/>
    </row>
    <row r="254" spans="1:65" ht="11.25" x14ac:dyDescent="0.2">
      <c r="A254" s="57"/>
      <c r="B254" s="57"/>
      <c r="C254" s="57"/>
      <c r="D254" s="57"/>
      <c r="E254" s="57"/>
      <c r="F254" s="57"/>
      <c r="G254" s="57"/>
      <c r="H254" s="57"/>
      <c r="I254" s="57"/>
      <c r="J254" s="57"/>
      <c r="L254" s="57"/>
      <c r="M254" s="57"/>
      <c r="N254" s="57"/>
      <c r="O254" s="57"/>
      <c r="P254" s="57"/>
      <c r="Q254" s="57"/>
      <c r="R254" s="57"/>
      <c r="S254" s="57"/>
      <c r="T254" s="57"/>
      <c r="U254" s="57"/>
      <c r="V254" s="57"/>
      <c r="W254" s="57"/>
      <c r="X254" s="57"/>
      <c r="Y254" s="98"/>
      <c r="AA254" s="98"/>
      <c r="AR254" s="98"/>
      <c r="AS254" s="57"/>
      <c r="AU254" s="57"/>
      <c r="BF254" s="98"/>
      <c r="BG254" s="98"/>
      <c r="BH254" s="98"/>
      <c r="BI254" s="98"/>
      <c r="BJ254" s="98"/>
      <c r="BK254" s="98"/>
      <c r="BL254" s="98"/>
      <c r="BM254" s="57"/>
    </row>
    <row r="255" spans="1:65" ht="11.25" x14ac:dyDescent="0.2">
      <c r="A255" s="57"/>
      <c r="B255" s="57"/>
      <c r="C255" s="57"/>
      <c r="D255" s="57"/>
      <c r="E255" s="57"/>
      <c r="F255" s="57"/>
      <c r="G255" s="57"/>
      <c r="H255" s="57"/>
      <c r="I255" s="57"/>
      <c r="J255" s="57"/>
      <c r="L255" s="57"/>
      <c r="M255" s="57"/>
      <c r="N255" s="57"/>
      <c r="O255" s="57"/>
      <c r="P255" s="57"/>
      <c r="Q255" s="57"/>
      <c r="R255" s="57"/>
      <c r="S255" s="57"/>
      <c r="T255" s="57"/>
      <c r="U255" s="57"/>
      <c r="V255" s="57"/>
      <c r="W255" s="57"/>
      <c r="X255" s="57"/>
      <c r="Y255" s="98"/>
      <c r="AA255" s="98"/>
      <c r="AR255" s="98"/>
      <c r="AS255" s="57"/>
      <c r="AU255" s="57"/>
      <c r="BF255" s="98"/>
      <c r="BG255" s="98"/>
      <c r="BH255" s="98"/>
      <c r="BI255" s="98"/>
      <c r="BJ255" s="98"/>
      <c r="BK255" s="98"/>
      <c r="BL255" s="98"/>
      <c r="BM255" s="57"/>
    </row>
    <row r="256" spans="1:65" ht="11.25" x14ac:dyDescent="0.2">
      <c r="A256" s="57"/>
      <c r="B256" s="57"/>
      <c r="C256" s="57"/>
      <c r="D256" s="57"/>
      <c r="E256" s="57"/>
      <c r="F256" s="57"/>
      <c r="G256" s="57"/>
      <c r="H256" s="57"/>
      <c r="I256" s="57"/>
      <c r="J256" s="57"/>
      <c r="L256" s="57"/>
      <c r="M256" s="57"/>
      <c r="N256" s="57"/>
      <c r="O256" s="57"/>
      <c r="P256" s="57"/>
      <c r="Q256" s="57"/>
      <c r="R256" s="57"/>
      <c r="S256" s="57"/>
      <c r="T256" s="57"/>
      <c r="U256" s="57"/>
      <c r="V256" s="57"/>
      <c r="W256" s="57"/>
      <c r="X256" s="57"/>
      <c r="Y256" s="98"/>
      <c r="AA256" s="98"/>
      <c r="AR256" s="98"/>
      <c r="AS256" s="57"/>
      <c r="AU256" s="57"/>
      <c r="BF256" s="98"/>
      <c r="BG256" s="98"/>
      <c r="BH256" s="98"/>
      <c r="BI256" s="98"/>
      <c r="BJ256" s="98"/>
      <c r="BK256" s="98"/>
      <c r="BL256" s="98"/>
      <c r="BM256" s="57"/>
    </row>
    <row r="257" spans="1:65" ht="11.25" x14ac:dyDescent="0.2">
      <c r="A257" s="57"/>
      <c r="B257" s="57"/>
      <c r="C257" s="57"/>
      <c r="D257" s="57"/>
      <c r="E257" s="57"/>
      <c r="F257" s="57"/>
      <c r="G257" s="57"/>
      <c r="H257" s="57"/>
      <c r="I257" s="57"/>
      <c r="J257" s="57"/>
      <c r="L257" s="57"/>
      <c r="M257" s="57"/>
      <c r="N257" s="57"/>
      <c r="O257" s="57"/>
      <c r="P257" s="57"/>
      <c r="Q257" s="57"/>
      <c r="R257" s="57"/>
      <c r="S257" s="57"/>
      <c r="T257" s="57"/>
      <c r="U257" s="57"/>
      <c r="V257" s="57"/>
      <c r="W257" s="57"/>
      <c r="X257" s="57"/>
      <c r="Y257" s="98"/>
      <c r="AA257" s="98"/>
      <c r="AR257" s="98"/>
      <c r="AS257" s="57"/>
      <c r="AU257" s="57"/>
      <c r="BF257" s="98"/>
      <c r="BG257" s="98"/>
      <c r="BH257" s="98"/>
      <c r="BI257" s="98"/>
      <c r="BJ257" s="98"/>
      <c r="BK257" s="98"/>
      <c r="BL257" s="98"/>
      <c r="BM257" s="57"/>
    </row>
    <row r="258" spans="1:65" ht="11.25" x14ac:dyDescent="0.2">
      <c r="A258" s="57"/>
      <c r="B258" s="57"/>
      <c r="C258" s="57"/>
      <c r="D258" s="57"/>
      <c r="E258" s="57"/>
      <c r="F258" s="57"/>
      <c r="G258" s="57"/>
      <c r="H258" s="57"/>
      <c r="I258" s="57"/>
      <c r="J258" s="57"/>
      <c r="L258" s="57"/>
      <c r="M258" s="57"/>
      <c r="N258" s="57"/>
      <c r="O258" s="57"/>
      <c r="P258" s="57"/>
      <c r="Q258" s="57"/>
      <c r="R258" s="57"/>
      <c r="S258" s="57"/>
      <c r="T258" s="57"/>
      <c r="U258" s="57"/>
      <c r="V258" s="57"/>
      <c r="W258" s="57"/>
      <c r="X258" s="57"/>
      <c r="Y258" s="98"/>
      <c r="AA258" s="98"/>
      <c r="AR258" s="98"/>
      <c r="AS258" s="57"/>
      <c r="AU258" s="57"/>
      <c r="BF258" s="98"/>
      <c r="BG258" s="98"/>
      <c r="BH258" s="98"/>
      <c r="BI258" s="98"/>
      <c r="BJ258" s="98"/>
      <c r="BK258" s="98"/>
      <c r="BL258" s="98"/>
      <c r="BM258" s="57"/>
    </row>
    <row r="259" spans="1:65" ht="11.25" x14ac:dyDescent="0.2">
      <c r="A259" s="57"/>
      <c r="B259" s="57"/>
      <c r="C259" s="57"/>
      <c r="D259" s="57"/>
      <c r="E259" s="57"/>
      <c r="F259" s="57"/>
      <c r="G259" s="57"/>
      <c r="H259" s="57"/>
      <c r="I259" s="57"/>
      <c r="J259" s="57"/>
      <c r="L259" s="57"/>
      <c r="M259" s="57"/>
      <c r="N259" s="57"/>
      <c r="O259" s="57"/>
      <c r="P259" s="57"/>
      <c r="Q259" s="57"/>
      <c r="R259" s="57"/>
      <c r="S259" s="57"/>
      <c r="T259" s="57"/>
      <c r="U259" s="57"/>
      <c r="V259" s="57"/>
      <c r="W259" s="57"/>
      <c r="X259" s="57"/>
      <c r="Y259" s="98"/>
      <c r="AA259" s="98"/>
      <c r="AR259" s="98"/>
      <c r="AS259" s="57"/>
      <c r="AU259" s="57"/>
      <c r="BF259" s="98"/>
      <c r="BG259" s="98"/>
      <c r="BH259" s="98"/>
      <c r="BI259" s="98"/>
      <c r="BJ259" s="98"/>
      <c r="BK259" s="98"/>
      <c r="BL259" s="98"/>
      <c r="BM259" s="57"/>
    </row>
    <row r="260" spans="1:65" ht="11.25" x14ac:dyDescent="0.2">
      <c r="A260" s="57"/>
      <c r="B260" s="57"/>
      <c r="C260" s="57"/>
      <c r="D260" s="57"/>
      <c r="E260" s="57"/>
      <c r="F260" s="57"/>
      <c r="G260" s="57"/>
      <c r="H260" s="57"/>
      <c r="I260" s="57"/>
      <c r="J260" s="57"/>
      <c r="L260" s="57"/>
      <c r="M260" s="57"/>
      <c r="N260" s="57"/>
      <c r="O260" s="57"/>
      <c r="P260" s="57"/>
      <c r="Q260" s="57"/>
      <c r="R260" s="57"/>
      <c r="S260" s="57"/>
      <c r="T260" s="57"/>
      <c r="U260" s="57"/>
      <c r="V260" s="57"/>
      <c r="W260" s="57"/>
      <c r="X260" s="57"/>
      <c r="Y260" s="98"/>
      <c r="AA260" s="98"/>
      <c r="AR260" s="98"/>
      <c r="AS260" s="57"/>
      <c r="AU260" s="57"/>
      <c r="BF260" s="98"/>
      <c r="BG260" s="98"/>
      <c r="BH260" s="98"/>
      <c r="BI260" s="98"/>
      <c r="BJ260" s="98"/>
      <c r="BK260" s="98"/>
      <c r="BL260" s="98"/>
      <c r="BM260" s="57"/>
    </row>
    <row r="261" spans="1:65" ht="11.25" x14ac:dyDescent="0.2">
      <c r="A261" s="57"/>
      <c r="B261" s="57"/>
      <c r="C261" s="57"/>
      <c r="D261" s="57"/>
      <c r="E261" s="57"/>
      <c r="F261" s="57"/>
      <c r="G261" s="57"/>
      <c r="H261" s="57"/>
      <c r="I261" s="57"/>
      <c r="J261" s="57"/>
      <c r="L261" s="57"/>
      <c r="M261" s="57"/>
      <c r="N261" s="57"/>
      <c r="O261" s="57"/>
      <c r="P261" s="57"/>
      <c r="Q261" s="57"/>
      <c r="R261" s="57"/>
      <c r="S261" s="57"/>
      <c r="T261" s="57"/>
      <c r="U261" s="57"/>
      <c r="V261" s="57"/>
      <c r="W261" s="57"/>
      <c r="X261" s="57"/>
      <c r="Y261" s="98"/>
      <c r="AA261" s="98"/>
      <c r="AR261" s="98"/>
      <c r="AS261" s="57"/>
      <c r="AU261" s="57"/>
      <c r="BF261" s="98"/>
      <c r="BG261" s="98"/>
      <c r="BH261" s="98"/>
      <c r="BI261" s="98"/>
      <c r="BJ261" s="98"/>
      <c r="BK261" s="98"/>
      <c r="BL261" s="98"/>
      <c r="BM261" s="57"/>
    </row>
    <row r="262" spans="1:65" ht="11.25" x14ac:dyDescent="0.2">
      <c r="A262" s="57"/>
      <c r="B262" s="57"/>
      <c r="C262" s="57"/>
      <c r="D262" s="57"/>
      <c r="E262" s="57"/>
      <c r="F262" s="57"/>
      <c r="G262" s="57"/>
      <c r="H262" s="57"/>
      <c r="I262" s="57"/>
      <c r="J262" s="57"/>
      <c r="L262" s="57"/>
      <c r="M262" s="57"/>
      <c r="N262" s="57"/>
      <c r="O262" s="57"/>
      <c r="P262" s="57"/>
      <c r="Q262" s="57"/>
      <c r="R262" s="57"/>
      <c r="S262" s="57"/>
      <c r="T262" s="57"/>
      <c r="U262" s="57"/>
      <c r="V262" s="57"/>
      <c r="W262" s="57"/>
      <c r="X262" s="57"/>
      <c r="Y262" s="98"/>
      <c r="AA262" s="98"/>
      <c r="AR262" s="98"/>
      <c r="AS262" s="57"/>
      <c r="AU262" s="57"/>
      <c r="BF262" s="98"/>
      <c r="BG262" s="98"/>
      <c r="BH262" s="98"/>
      <c r="BI262" s="98"/>
      <c r="BJ262" s="98"/>
      <c r="BK262" s="98"/>
      <c r="BL262" s="98"/>
      <c r="BM262" s="57"/>
    </row>
    <row r="263" spans="1:65" ht="11.25" x14ac:dyDescent="0.2">
      <c r="A263" s="57"/>
      <c r="B263" s="57"/>
      <c r="C263" s="57"/>
      <c r="D263" s="57"/>
      <c r="E263" s="57"/>
      <c r="F263" s="57"/>
      <c r="G263" s="57"/>
      <c r="H263" s="57"/>
      <c r="I263" s="57"/>
      <c r="J263" s="57"/>
      <c r="L263" s="57"/>
      <c r="M263" s="57"/>
      <c r="N263" s="57"/>
      <c r="O263" s="57"/>
      <c r="P263" s="57"/>
      <c r="Q263" s="57"/>
      <c r="R263" s="57"/>
      <c r="S263" s="57"/>
      <c r="T263" s="57"/>
      <c r="U263" s="57"/>
      <c r="V263" s="57"/>
      <c r="W263" s="57"/>
      <c r="X263" s="57"/>
      <c r="Y263" s="98"/>
      <c r="AA263" s="98"/>
      <c r="AR263" s="98"/>
      <c r="AS263" s="57"/>
      <c r="AU263" s="57"/>
      <c r="BF263" s="98"/>
      <c r="BG263" s="98"/>
      <c r="BH263" s="98"/>
      <c r="BI263" s="98"/>
      <c r="BJ263" s="98"/>
      <c r="BK263" s="98"/>
      <c r="BL263" s="98"/>
      <c r="BM263" s="57"/>
    </row>
    <row r="264" spans="1:65" ht="11.25" x14ac:dyDescent="0.2">
      <c r="A264" s="57"/>
      <c r="B264" s="57"/>
      <c r="C264" s="57"/>
      <c r="D264" s="57"/>
      <c r="E264" s="57"/>
      <c r="F264" s="57"/>
      <c r="G264" s="57"/>
      <c r="H264" s="57"/>
      <c r="I264" s="57"/>
      <c r="J264" s="57"/>
      <c r="L264" s="57"/>
      <c r="M264" s="57"/>
      <c r="N264" s="57"/>
      <c r="O264" s="57"/>
      <c r="P264" s="57"/>
      <c r="Q264" s="57"/>
      <c r="R264" s="57"/>
      <c r="S264" s="57"/>
      <c r="T264" s="57"/>
      <c r="U264" s="57"/>
      <c r="V264" s="57"/>
      <c r="W264" s="57"/>
      <c r="X264" s="57"/>
      <c r="Y264" s="98"/>
      <c r="AA264" s="98"/>
      <c r="AR264" s="98"/>
      <c r="AS264" s="57"/>
      <c r="AU264" s="57"/>
      <c r="BF264" s="98"/>
      <c r="BG264" s="98"/>
      <c r="BH264" s="98"/>
      <c r="BI264" s="98"/>
      <c r="BJ264" s="98"/>
      <c r="BK264" s="98"/>
      <c r="BL264" s="98"/>
      <c r="BM264" s="57"/>
    </row>
    <row r="265" spans="1:65" ht="11.25" x14ac:dyDescent="0.2">
      <c r="A265" s="57"/>
      <c r="B265" s="57"/>
      <c r="C265" s="57"/>
      <c r="D265" s="57"/>
      <c r="E265" s="57"/>
      <c r="F265" s="57"/>
      <c r="G265" s="57"/>
      <c r="H265" s="57"/>
      <c r="I265" s="57"/>
      <c r="J265" s="57"/>
      <c r="L265" s="57"/>
      <c r="M265" s="57"/>
      <c r="N265" s="57"/>
      <c r="O265" s="57"/>
      <c r="P265" s="57"/>
      <c r="Q265" s="57"/>
      <c r="R265" s="57"/>
      <c r="S265" s="57"/>
      <c r="T265" s="57"/>
      <c r="U265" s="57"/>
      <c r="V265" s="57"/>
      <c r="W265" s="57"/>
      <c r="X265" s="57"/>
      <c r="Y265" s="98"/>
      <c r="AA265" s="98"/>
      <c r="AR265" s="98"/>
      <c r="AS265" s="57"/>
      <c r="AU265" s="57"/>
      <c r="BF265" s="98"/>
      <c r="BG265" s="98"/>
      <c r="BH265" s="98"/>
      <c r="BI265" s="98"/>
      <c r="BJ265" s="98"/>
      <c r="BK265" s="98"/>
      <c r="BL265" s="98"/>
      <c r="BM265" s="57"/>
    </row>
    <row r="266" spans="1:65" ht="11.25" x14ac:dyDescent="0.2">
      <c r="A266" s="57"/>
      <c r="B266" s="57"/>
      <c r="C266" s="57"/>
      <c r="D266" s="57"/>
      <c r="E266" s="57"/>
      <c r="F266" s="57"/>
      <c r="G266" s="57"/>
      <c r="H266" s="57"/>
      <c r="I266" s="57"/>
      <c r="J266" s="57"/>
      <c r="L266" s="57"/>
      <c r="M266" s="57"/>
      <c r="N266" s="57"/>
      <c r="O266" s="57"/>
      <c r="P266" s="57"/>
      <c r="Q266" s="57"/>
      <c r="R266" s="57"/>
      <c r="S266" s="57"/>
      <c r="T266" s="57"/>
      <c r="U266" s="57"/>
      <c r="V266" s="57"/>
      <c r="W266" s="57"/>
      <c r="X266" s="57"/>
      <c r="Y266" s="98"/>
      <c r="AA266" s="98"/>
      <c r="AR266" s="98"/>
      <c r="AS266" s="57"/>
      <c r="AU266" s="57"/>
      <c r="BF266" s="98"/>
      <c r="BG266" s="98"/>
      <c r="BH266" s="98"/>
      <c r="BI266" s="98"/>
      <c r="BJ266" s="98"/>
      <c r="BK266" s="98"/>
      <c r="BL266" s="98"/>
      <c r="BM266" s="57"/>
    </row>
    <row r="267" spans="1:65" ht="11.25" x14ac:dyDescent="0.2">
      <c r="A267" s="57"/>
      <c r="B267" s="57"/>
      <c r="C267" s="57"/>
      <c r="D267" s="57"/>
      <c r="E267" s="57"/>
      <c r="F267" s="57"/>
      <c r="G267" s="57"/>
      <c r="H267" s="57"/>
      <c r="I267" s="57"/>
      <c r="J267" s="57"/>
      <c r="L267" s="57"/>
      <c r="M267" s="57"/>
      <c r="N267" s="57"/>
      <c r="O267" s="57"/>
      <c r="P267" s="57"/>
      <c r="Q267" s="57"/>
      <c r="R267" s="57"/>
      <c r="S267" s="57"/>
      <c r="T267" s="57"/>
      <c r="U267" s="57"/>
      <c r="V267" s="57"/>
      <c r="W267" s="57"/>
      <c r="X267" s="57"/>
      <c r="Y267" s="98"/>
      <c r="AA267" s="98"/>
      <c r="AR267" s="98"/>
      <c r="AS267" s="57"/>
      <c r="AU267" s="57"/>
      <c r="BF267" s="98"/>
      <c r="BG267" s="98"/>
      <c r="BH267" s="98"/>
      <c r="BI267" s="98"/>
      <c r="BJ267" s="98"/>
      <c r="BK267" s="98"/>
      <c r="BL267" s="98"/>
      <c r="BM267" s="57"/>
    </row>
    <row r="268" spans="1:65" ht="11.25" x14ac:dyDescent="0.2">
      <c r="A268" s="57"/>
      <c r="B268" s="57"/>
      <c r="C268" s="57"/>
      <c r="D268" s="57"/>
      <c r="E268" s="57"/>
      <c r="F268" s="57"/>
      <c r="G268" s="57"/>
      <c r="H268" s="57"/>
      <c r="I268" s="57"/>
      <c r="J268" s="57"/>
      <c r="L268" s="57"/>
      <c r="M268" s="57"/>
      <c r="N268" s="57"/>
      <c r="O268" s="57"/>
      <c r="P268" s="57"/>
      <c r="Q268" s="57"/>
      <c r="R268" s="57"/>
      <c r="S268" s="57"/>
      <c r="T268" s="57"/>
      <c r="U268" s="57"/>
      <c r="V268" s="57"/>
      <c r="W268" s="57"/>
      <c r="X268" s="57"/>
      <c r="Y268" s="98"/>
      <c r="AA268" s="98"/>
      <c r="AR268" s="98"/>
      <c r="AS268" s="57"/>
      <c r="AU268" s="57"/>
      <c r="BF268" s="98"/>
      <c r="BG268" s="98"/>
      <c r="BH268" s="98"/>
      <c r="BI268" s="98"/>
      <c r="BJ268" s="98"/>
      <c r="BK268" s="98"/>
      <c r="BL268" s="98"/>
      <c r="BM268" s="57"/>
    </row>
    <row r="269" spans="1:65" ht="11.25" x14ac:dyDescent="0.2">
      <c r="A269" s="57"/>
      <c r="B269" s="57"/>
      <c r="C269" s="57"/>
      <c r="D269" s="57"/>
      <c r="E269" s="57"/>
      <c r="F269" s="57"/>
      <c r="G269" s="57"/>
      <c r="H269" s="57"/>
      <c r="I269" s="57"/>
      <c r="J269" s="57"/>
      <c r="L269" s="57"/>
      <c r="M269" s="57"/>
      <c r="N269" s="57"/>
      <c r="O269" s="57"/>
      <c r="P269" s="57"/>
      <c r="Q269" s="57"/>
      <c r="R269" s="57"/>
      <c r="S269" s="57"/>
      <c r="T269" s="57"/>
      <c r="U269" s="57"/>
      <c r="V269" s="57"/>
      <c r="W269" s="57"/>
      <c r="X269" s="57"/>
      <c r="Y269" s="98"/>
      <c r="AA269" s="98"/>
      <c r="AR269" s="98"/>
      <c r="AS269" s="57"/>
      <c r="AU269" s="57"/>
      <c r="BF269" s="98"/>
      <c r="BG269" s="98"/>
      <c r="BH269" s="98"/>
      <c r="BI269" s="98"/>
      <c r="BJ269" s="98"/>
      <c r="BK269" s="98"/>
      <c r="BL269" s="98"/>
      <c r="BM269" s="57"/>
    </row>
    <row r="270" spans="1:65" ht="11.25" x14ac:dyDescent="0.2">
      <c r="A270" s="57"/>
      <c r="B270" s="57"/>
      <c r="C270" s="57"/>
      <c r="D270" s="57"/>
      <c r="E270" s="57"/>
      <c r="F270" s="57"/>
      <c r="G270" s="57"/>
      <c r="H270" s="57"/>
      <c r="I270" s="57"/>
      <c r="J270" s="57"/>
      <c r="L270" s="57"/>
      <c r="M270" s="57"/>
      <c r="N270" s="57"/>
      <c r="O270" s="57"/>
      <c r="P270" s="57"/>
      <c r="Q270" s="57"/>
      <c r="R270" s="57"/>
      <c r="S270" s="57"/>
      <c r="T270" s="57"/>
      <c r="U270" s="57"/>
      <c r="V270" s="57"/>
      <c r="W270" s="57"/>
      <c r="X270" s="57"/>
      <c r="Y270" s="98"/>
      <c r="AA270" s="98"/>
      <c r="AR270" s="98"/>
      <c r="AS270" s="57"/>
      <c r="AU270" s="57"/>
      <c r="BF270" s="98"/>
      <c r="BG270" s="98"/>
      <c r="BH270" s="98"/>
      <c r="BI270" s="98"/>
      <c r="BJ270" s="98"/>
      <c r="BK270" s="98"/>
      <c r="BL270" s="98"/>
      <c r="BM270" s="57"/>
    </row>
    <row r="271" spans="1:65" ht="11.25" x14ac:dyDescent="0.2">
      <c r="A271" s="57"/>
      <c r="B271" s="57"/>
      <c r="C271" s="57"/>
      <c r="D271" s="57"/>
      <c r="E271" s="57"/>
      <c r="F271" s="57"/>
      <c r="G271" s="57"/>
      <c r="H271" s="57"/>
      <c r="I271" s="57"/>
      <c r="J271" s="57"/>
      <c r="L271" s="57"/>
      <c r="M271" s="57"/>
      <c r="N271" s="57"/>
      <c r="O271" s="57"/>
      <c r="P271" s="57"/>
      <c r="Q271" s="57"/>
      <c r="R271" s="57"/>
      <c r="S271" s="57"/>
      <c r="T271" s="57"/>
      <c r="U271" s="57"/>
      <c r="V271" s="57"/>
      <c r="W271" s="57"/>
      <c r="X271" s="57"/>
      <c r="Y271" s="98"/>
      <c r="AA271" s="98"/>
      <c r="AR271" s="98"/>
      <c r="AS271" s="57"/>
      <c r="AU271" s="57"/>
      <c r="BF271" s="98"/>
      <c r="BG271" s="98"/>
      <c r="BH271" s="98"/>
      <c r="BI271" s="98"/>
      <c r="BJ271" s="98"/>
      <c r="BK271" s="98"/>
      <c r="BL271" s="98"/>
      <c r="BM271" s="57"/>
    </row>
    <row r="272" spans="1:65" ht="11.25" x14ac:dyDescent="0.2">
      <c r="A272" s="57"/>
      <c r="B272" s="57"/>
      <c r="C272" s="57"/>
      <c r="D272" s="57"/>
      <c r="E272" s="57"/>
      <c r="F272" s="57"/>
      <c r="G272" s="57"/>
      <c r="H272" s="57"/>
      <c r="I272" s="57"/>
      <c r="J272" s="57"/>
      <c r="L272" s="57"/>
      <c r="M272" s="57"/>
      <c r="N272" s="57"/>
      <c r="O272" s="57"/>
      <c r="P272" s="57"/>
      <c r="Q272" s="57"/>
      <c r="R272" s="57"/>
      <c r="S272" s="57"/>
      <c r="T272" s="57"/>
      <c r="U272" s="57"/>
      <c r="V272" s="57"/>
      <c r="W272" s="57"/>
      <c r="X272" s="57"/>
      <c r="Y272" s="98"/>
      <c r="AA272" s="98"/>
      <c r="AR272" s="98"/>
      <c r="AS272" s="57"/>
      <c r="AU272" s="57"/>
      <c r="BF272" s="98"/>
      <c r="BG272" s="98"/>
      <c r="BH272" s="98"/>
      <c r="BI272" s="98"/>
      <c r="BJ272" s="98"/>
      <c r="BK272" s="98"/>
      <c r="BL272" s="98"/>
      <c r="BM272" s="57"/>
    </row>
    <row r="273" spans="1:65" ht="11.25" x14ac:dyDescent="0.2">
      <c r="A273" s="57"/>
      <c r="B273" s="57"/>
      <c r="C273" s="57"/>
      <c r="D273" s="57"/>
      <c r="E273" s="57"/>
      <c r="F273" s="57"/>
      <c r="G273" s="57"/>
      <c r="H273" s="57"/>
      <c r="I273" s="57"/>
      <c r="J273" s="57"/>
      <c r="L273" s="57"/>
      <c r="M273" s="57"/>
      <c r="N273" s="57"/>
      <c r="O273" s="57"/>
      <c r="P273" s="57"/>
      <c r="Q273" s="57"/>
      <c r="R273" s="57"/>
      <c r="S273" s="57"/>
      <c r="T273" s="57"/>
      <c r="U273" s="57"/>
      <c r="V273" s="57"/>
      <c r="W273" s="57"/>
      <c r="X273" s="57"/>
      <c r="Y273" s="98"/>
      <c r="AA273" s="98"/>
      <c r="AR273" s="98"/>
      <c r="AS273" s="57"/>
      <c r="AU273" s="57"/>
      <c r="BF273" s="98"/>
      <c r="BG273" s="98"/>
      <c r="BH273" s="98"/>
      <c r="BI273" s="98"/>
      <c r="BJ273" s="98"/>
      <c r="BK273" s="98"/>
      <c r="BL273" s="98"/>
      <c r="BM273" s="57"/>
    </row>
    <row r="274" spans="1:65" ht="11.25" x14ac:dyDescent="0.2">
      <c r="A274" s="57"/>
      <c r="B274" s="57"/>
      <c r="C274" s="57"/>
      <c r="D274" s="57"/>
      <c r="E274" s="57"/>
      <c r="F274" s="57"/>
      <c r="G274" s="57"/>
      <c r="H274" s="57"/>
      <c r="I274" s="57"/>
      <c r="J274" s="57"/>
      <c r="L274" s="57"/>
      <c r="M274" s="57"/>
      <c r="N274" s="57"/>
      <c r="O274" s="57"/>
      <c r="P274" s="57"/>
      <c r="Q274" s="57"/>
      <c r="R274" s="57"/>
      <c r="S274" s="57"/>
      <c r="T274" s="57"/>
      <c r="U274" s="57"/>
      <c r="V274" s="57"/>
      <c r="W274" s="57"/>
      <c r="X274" s="57"/>
      <c r="Y274" s="98"/>
      <c r="AA274" s="98"/>
      <c r="AR274" s="98"/>
      <c r="AS274" s="57"/>
      <c r="AU274" s="57"/>
      <c r="BF274" s="98"/>
      <c r="BG274" s="98"/>
      <c r="BH274" s="98"/>
      <c r="BI274" s="98"/>
      <c r="BJ274" s="98"/>
      <c r="BK274" s="98"/>
      <c r="BL274" s="98"/>
      <c r="BM274" s="57"/>
    </row>
    <row r="275" spans="1:65" ht="11.25" x14ac:dyDescent="0.2">
      <c r="A275" s="57"/>
      <c r="B275" s="57"/>
      <c r="C275" s="57"/>
      <c r="D275" s="57"/>
      <c r="E275" s="57"/>
      <c r="F275" s="57"/>
      <c r="G275" s="57"/>
      <c r="H275" s="57"/>
      <c r="I275" s="57"/>
      <c r="J275" s="57"/>
      <c r="L275" s="57"/>
      <c r="M275" s="57"/>
      <c r="N275" s="57"/>
      <c r="O275" s="57"/>
      <c r="P275" s="57"/>
      <c r="Q275" s="57"/>
      <c r="R275" s="57"/>
      <c r="S275" s="57"/>
      <c r="T275" s="57"/>
      <c r="U275" s="57"/>
      <c r="V275" s="57"/>
      <c r="W275" s="57"/>
      <c r="X275" s="57"/>
      <c r="Y275" s="98"/>
      <c r="AA275" s="98"/>
      <c r="AR275" s="98"/>
      <c r="AS275" s="57"/>
      <c r="AU275" s="57"/>
      <c r="BF275" s="98"/>
      <c r="BG275" s="98"/>
      <c r="BH275" s="98"/>
      <c r="BI275" s="98"/>
      <c r="BJ275" s="98"/>
      <c r="BK275" s="98"/>
      <c r="BL275" s="98"/>
      <c r="BM275" s="57"/>
    </row>
    <row r="276" spans="1:65" ht="11.25" x14ac:dyDescent="0.2">
      <c r="A276" s="57"/>
      <c r="B276" s="57"/>
      <c r="C276" s="57"/>
      <c r="D276" s="57"/>
      <c r="E276" s="57"/>
      <c r="F276" s="57"/>
      <c r="G276" s="57"/>
      <c r="H276" s="57"/>
      <c r="I276" s="57"/>
      <c r="J276" s="57"/>
      <c r="L276" s="57"/>
      <c r="M276" s="57"/>
      <c r="N276" s="57"/>
      <c r="O276" s="57"/>
      <c r="P276" s="57"/>
      <c r="Q276" s="57"/>
      <c r="R276" s="57"/>
      <c r="S276" s="57"/>
      <c r="T276" s="57"/>
      <c r="U276" s="57"/>
      <c r="V276" s="57"/>
      <c r="W276" s="57"/>
      <c r="X276" s="57"/>
      <c r="Y276" s="98"/>
      <c r="AA276" s="98"/>
      <c r="AR276" s="98"/>
      <c r="AS276" s="57"/>
      <c r="AU276" s="57"/>
      <c r="BF276" s="98"/>
      <c r="BG276" s="98"/>
      <c r="BH276" s="98"/>
      <c r="BI276" s="98"/>
      <c r="BJ276" s="98"/>
      <c r="BK276" s="98"/>
      <c r="BL276" s="98"/>
      <c r="BM276" s="57"/>
    </row>
    <row r="277" spans="1:65" ht="11.25" x14ac:dyDescent="0.2">
      <c r="A277" s="57"/>
      <c r="B277" s="57"/>
      <c r="C277" s="57"/>
      <c r="D277" s="57"/>
      <c r="E277" s="57"/>
      <c r="F277" s="57"/>
      <c r="G277" s="57"/>
      <c r="H277" s="57"/>
      <c r="I277" s="57"/>
      <c r="J277" s="57"/>
      <c r="L277" s="57"/>
      <c r="M277" s="57"/>
      <c r="N277" s="57"/>
      <c r="O277" s="57"/>
      <c r="P277" s="57"/>
      <c r="Q277" s="57"/>
      <c r="R277" s="57"/>
      <c r="S277" s="57"/>
      <c r="T277" s="57"/>
      <c r="U277" s="57"/>
      <c r="V277" s="57"/>
      <c r="W277" s="57"/>
      <c r="X277" s="57"/>
      <c r="Y277" s="98"/>
      <c r="AA277" s="98"/>
      <c r="AR277" s="98"/>
      <c r="AS277" s="57"/>
      <c r="AU277" s="57"/>
      <c r="BF277" s="98"/>
      <c r="BG277" s="98"/>
      <c r="BH277" s="98"/>
      <c r="BI277" s="98"/>
      <c r="BJ277" s="98"/>
      <c r="BK277" s="98"/>
      <c r="BL277" s="98"/>
      <c r="BM277" s="57"/>
    </row>
    <row r="278" spans="1:65" ht="11.25" x14ac:dyDescent="0.2">
      <c r="A278" s="57"/>
      <c r="B278" s="57"/>
      <c r="C278" s="57"/>
      <c r="D278" s="57"/>
      <c r="E278" s="57"/>
      <c r="F278" s="57"/>
      <c r="G278" s="57"/>
      <c r="H278" s="57"/>
      <c r="I278" s="57"/>
      <c r="J278" s="57"/>
      <c r="L278" s="57"/>
      <c r="M278" s="57"/>
      <c r="N278" s="57"/>
      <c r="O278" s="57"/>
      <c r="P278" s="57"/>
      <c r="Q278" s="57"/>
      <c r="R278" s="57"/>
      <c r="S278" s="57"/>
      <c r="T278" s="57"/>
      <c r="U278" s="57"/>
      <c r="V278" s="57"/>
      <c r="W278" s="57"/>
      <c r="X278" s="57"/>
      <c r="Y278" s="98"/>
      <c r="AA278" s="98"/>
      <c r="AR278" s="98"/>
      <c r="AS278" s="57"/>
      <c r="AU278" s="57"/>
      <c r="BF278" s="98"/>
      <c r="BG278" s="98"/>
      <c r="BH278" s="98"/>
      <c r="BI278" s="98"/>
      <c r="BJ278" s="98"/>
      <c r="BK278" s="98"/>
      <c r="BL278" s="98"/>
      <c r="BM278" s="57"/>
    </row>
    <row r="279" spans="1:65" ht="11.25" x14ac:dyDescent="0.2">
      <c r="A279" s="57"/>
      <c r="B279" s="57"/>
      <c r="C279" s="57"/>
      <c r="D279" s="57"/>
      <c r="E279" s="57"/>
      <c r="F279" s="57"/>
      <c r="G279" s="57"/>
      <c r="H279" s="57"/>
      <c r="I279" s="57"/>
      <c r="J279" s="57"/>
      <c r="L279" s="57"/>
      <c r="M279" s="57"/>
      <c r="N279" s="57"/>
      <c r="O279" s="57"/>
      <c r="P279" s="57"/>
      <c r="Q279" s="57"/>
      <c r="R279" s="57"/>
      <c r="S279" s="57"/>
      <c r="T279" s="57"/>
      <c r="U279" s="57"/>
      <c r="V279" s="57"/>
      <c r="W279" s="57"/>
      <c r="X279" s="57"/>
      <c r="Y279" s="98"/>
      <c r="AA279" s="98"/>
      <c r="AR279" s="98"/>
      <c r="AS279" s="57"/>
      <c r="AU279" s="57"/>
      <c r="BF279" s="98"/>
      <c r="BG279" s="98"/>
      <c r="BH279" s="98"/>
      <c r="BI279" s="98"/>
      <c r="BJ279" s="98"/>
      <c r="BK279" s="98"/>
      <c r="BL279" s="98"/>
      <c r="BM279" s="57"/>
    </row>
    <row r="280" spans="1:65" ht="11.25" x14ac:dyDescent="0.2">
      <c r="A280" s="57"/>
      <c r="B280" s="57"/>
      <c r="C280" s="57"/>
      <c r="D280" s="57"/>
      <c r="E280" s="57"/>
      <c r="F280" s="57"/>
      <c r="G280" s="57"/>
      <c r="H280" s="57"/>
      <c r="I280" s="57"/>
      <c r="J280" s="57"/>
      <c r="L280" s="57"/>
      <c r="M280" s="57"/>
      <c r="N280" s="57"/>
      <c r="O280" s="57"/>
      <c r="P280" s="57"/>
      <c r="Q280" s="57"/>
      <c r="R280" s="57"/>
      <c r="S280" s="57"/>
      <c r="T280" s="57"/>
      <c r="U280" s="57"/>
      <c r="V280" s="57"/>
      <c r="W280" s="57"/>
      <c r="X280" s="57"/>
      <c r="Y280" s="98"/>
      <c r="AA280" s="98"/>
      <c r="AR280" s="98"/>
      <c r="AS280" s="57"/>
      <c r="AU280" s="57"/>
      <c r="BF280" s="98"/>
      <c r="BG280" s="98"/>
      <c r="BH280" s="98"/>
      <c r="BI280" s="98"/>
      <c r="BJ280" s="98"/>
      <c r="BK280" s="98"/>
      <c r="BL280" s="98"/>
      <c r="BM280" s="57"/>
    </row>
    <row r="281" spans="1:65" ht="11.25" x14ac:dyDescent="0.2">
      <c r="A281" s="57"/>
      <c r="B281" s="57"/>
      <c r="C281" s="57"/>
      <c r="D281" s="57"/>
      <c r="E281" s="57"/>
      <c r="F281" s="57"/>
      <c r="G281" s="57"/>
      <c r="H281" s="57"/>
      <c r="I281" s="57"/>
      <c r="J281" s="57"/>
      <c r="L281" s="57"/>
      <c r="M281" s="57"/>
      <c r="N281" s="57"/>
      <c r="O281" s="57"/>
      <c r="P281" s="57"/>
      <c r="Q281" s="57"/>
      <c r="R281" s="57"/>
      <c r="S281" s="57"/>
      <c r="T281" s="57"/>
      <c r="U281" s="57"/>
      <c r="V281" s="57"/>
      <c r="W281" s="57"/>
      <c r="X281" s="57"/>
      <c r="Y281" s="98"/>
      <c r="AA281" s="98"/>
      <c r="AR281" s="98"/>
      <c r="AS281" s="57"/>
      <c r="AU281" s="57"/>
      <c r="BF281" s="98"/>
      <c r="BG281" s="98"/>
      <c r="BH281" s="98"/>
      <c r="BI281" s="98"/>
      <c r="BJ281" s="98"/>
      <c r="BK281" s="98"/>
      <c r="BL281" s="98"/>
      <c r="BM281" s="57"/>
    </row>
    <row r="282" spans="1:65" ht="11.25" x14ac:dyDescent="0.2">
      <c r="A282" s="57"/>
      <c r="B282" s="57"/>
      <c r="C282" s="57"/>
      <c r="D282" s="57"/>
      <c r="E282" s="57"/>
      <c r="F282" s="57"/>
      <c r="G282" s="57"/>
      <c r="H282" s="57"/>
      <c r="I282" s="57"/>
      <c r="J282" s="57"/>
      <c r="L282" s="57"/>
      <c r="M282" s="57"/>
      <c r="N282" s="57"/>
      <c r="O282" s="57"/>
      <c r="P282" s="57"/>
      <c r="Q282" s="57"/>
      <c r="R282" s="57"/>
      <c r="S282" s="57"/>
      <c r="T282" s="57"/>
      <c r="U282" s="57"/>
      <c r="V282" s="57"/>
      <c r="W282" s="57"/>
      <c r="X282" s="57"/>
      <c r="Y282" s="98"/>
      <c r="AA282" s="98"/>
      <c r="AR282" s="98"/>
      <c r="AS282" s="57"/>
      <c r="AU282" s="57"/>
      <c r="BF282" s="98"/>
      <c r="BG282" s="98"/>
      <c r="BH282" s="98"/>
      <c r="BI282" s="98"/>
      <c r="BJ282" s="98"/>
      <c r="BK282" s="98"/>
      <c r="BL282" s="98"/>
      <c r="BM282" s="57"/>
    </row>
    <row r="283" spans="1:65" ht="11.25" x14ac:dyDescent="0.2">
      <c r="A283" s="57"/>
      <c r="B283" s="57"/>
      <c r="C283" s="57"/>
      <c r="D283" s="57"/>
      <c r="E283" s="57"/>
      <c r="F283" s="57"/>
      <c r="G283" s="57"/>
      <c r="H283" s="57"/>
      <c r="I283" s="57"/>
      <c r="J283" s="57"/>
      <c r="L283" s="57"/>
      <c r="M283" s="57"/>
      <c r="N283" s="57"/>
      <c r="O283" s="57"/>
      <c r="P283" s="57"/>
      <c r="Q283" s="57"/>
      <c r="R283" s="57"/>
      <c r="S283" s="57"/>
      <c r="T283" s="57"/>
      <c r="U283" s="57"/>
      <c r="V283" s="57"/>
      <c r="W283" s="57"/>
      <c r="X283" s="57"/>
      <c r="Y283" s="98"/>
      <c r="AA283" s="98"/>
      <c r="AR283" s="98"/>
      <c r="AS283" s="57"/>
      <c r="AU283" s="57"/>
      <c r="BF283" s="98"/>
      <c r="BG283" s="98"/>
      <c r="BH283" s="98"/>
      <c r="BI283" s="98"/>
      <c r="BJ283" s="98"/>
      <c r="BK283" s="98"/>
      <c r="BL283" s="98"/>
      <c r="BM283" s="57"/>
    </row>
    <row r="284" spans="1:65" ht="11.25" x14ac:dyDescent="0.2">
      <c r="A284" s="57"/>
      <c r="B284" s="57"/>
      <c r="C284" s="57"/>
      <c r="D284" s="57"/>
      <c r="E284" s="57"/>
      <c r="F284" s="57"/>
      <c r="G284" s="57"/>
      <c r="H284" s="57"/>
      <c r="I284" s="57"/>
      <c r="J284" s="57"/>
      <c r="L284" s="57"/>
      <c r="M284" s="57"/>
      <c r="N284" s="57"/>
      <c r="O284" s="57"/>
      <c r="P284" s="57"/>
      <c r="Q284" s="57"/>
      <c r="R284" s="57"/>
      <c r="S284" s="57"/>
      <c r="T284" s="57"/>
      <c r="U284" s="57"/>
      <c r="V284" s="57"/>
      <c r="W284" s="57"/>
      <c r="X284" s="57"/>
      <c r="Y284" s="98"/>
      <c r="AA284" s="98"/>
      <c r="AR284" s="98"/>
      <c r="AS284" s="57"/>
      <c r="AU284" s="57"/>
      <c r="BF284" s="98"/>
      <c r="BG284" s="98"/>
      <c r="BH284" s="98"/>
      <c r="BI284" s="98"/>
      <c r="BJ284" s="98"/>
      <c r="BK284" s="98"/>
      <c r="BL284" s="98"/>
      <c r="BM284" s="57"/>
    </row>
    <row r="285" spans="1:65" ht="11.25" x14ac:dyDescent="0.2">
      <c r="A285" s="57"/>
      <c r="B285" s="57"/>
      <c r="C285" s="57"/>
      <c r="D285" s="57"/>
      <c r="E285" s="57"/>
      <c r="F285" s="57"/>
      <c r="G285" s="57"/>
      <c r="H285" s="57"/>
      <c r="I285" s="57"/>
      <c r="J285" s="57"/>
      <c r="L285" s="57"/>
      <c r="M285" s="57"/>
      <c r="N285" s="57"/>
      <c r="O285" s="57"/>
      <c r="P285" s="57"/>
      <c r="Q285" s="57"/>
      <c r="R285" s="57"/>
      <c r="S285" s="57"/>
      <c r="T285" s="57"/>
      <c r="U285" s="57"/>
      <c r="V285" s="57"/>
      <c r="W285" s="57"/>
      <c r="X285" s="57"/>
      <c r="Y285" s="98"/>
      <c r="AA285" s="98"/>
      <c r="AR285" s="98"/>
      <c r="AS285" s="57"/>
      <c r="AU285" s="57"/>
      <c r="BF285" s="98"/>
      <c r="BG285" s="98"/>
      <c r="BH285" s="98"/>
      <c r="BI285" s="98"/>
      <c r="BJ285" s="98"/>
      <c r="BK285" s="98"/>
      <c r="BL285" s="98"/>
      <c r="BM285" s="57"/>
    </row>
    <row r="286" spans="1:65" ht="11.25" x14ac:dyDescent="0.2">
      <c r="A286" s="57"/>
      <c r="B286" s="57"/>
      <c r="C286" s="57"/>
      <c r="D286" s="57"/>
      <c r="E286" s="57"/>
      <c r="F286" s="57"/>
      <c r="G286" s="57"/>
      <c r="H286" s="57"/>
      <c r="I286" s="57"/>
      <c r="J286" s="57"/>
      <c r="L286" s="57"/>
      <c r="M286" s="57"/>
      <c r="N286" s="57"/>
      <c r="O286" s="57"/>
      <c r="P286" s="57"/>
      <c r="Q286" s="57"/>
      <c r="R286" s="57"/>
      <c r="S286" s="57"/>
      <c r="T286" s="57"/>
      <c r="U286" s="57"/>
      <c r="V286" s="57"/>
      <c r="W286" s="57"/>
      <c r="X286" s="57"/>
      <c r="Y286" s="98"/>
      <c r="AA286" s="98"/>
      <c r="AR286" s="98"/>
      <c r="AS286" s="57"/>
      <c r="AU286" s="57"/>
      <c r="BF286" s="98"/>
      <c r="BG286" s="98"/>
      <c r="BH286" s="98"/>
      <c r="BI286" s="98"/>
      <c r="BJ286" s="98"/>
      <c r="BK286" s="98"/>
      <c r="BL286" s="98"/>
      <c r="BM286" s="57"/>
    </row>
    <row r="287" spans="1:65" ht="11.25" x14ac:dyDescent="0.2">
      <c r="A287" s="57"/>
      <c r="B287" s="57"/>
      <c r="C287" s="57"/>
      <c r="D287" s="57"/>
      <c r="E287" s="57"/>
      <c r="F287" s="57"/>
      <c r="G287" s="57"/>
      <c r="H287" s="57"/>
      <c r="I287" s="57"/>
      <c r="J287" s="57"/>
      <c r="L287" s="57"/>
      <c r="M287" s="57"/>
      <c r="N287" s="57"/>
      <c r="O287" s="57"/>
      <c r="P287" s="57"/>
      <c r="Q287" s="57"/>
      <c r="R287" s="57"/>
      <c r="S287" s="57"/>
      <c r="T287" s="57"/>
      <c r="U287" s="57"/>
      <c r="V287" s="57"/>
      <c r="W287" s="57"/>
      <c r="X287" s="57"/>
      <c r="Y287" s="98"/>
      <c r="AA287" s="98"/>
      <c r="AR287" s="98"/>
      <c r="AS287" s="57"/>
      <c r="AU287" s="57"/>
      <c r="BF287" s="98"/>
      <c r="BG287" s="98"/>
      <c r="BH287" s="98"/>
      <c r="BI287" s="98"/>
      <c r="BJ287" s="98"/>
      <c r="BK287" s="98"/>
      <c r="BL287" s="98"/>
      <c r="BM287" s="57"/>
    </row>
    <row r="288" spans="1:65" ht="11.25" x14ac:dyDescent="0.2">
      <c r="A288" s="57"/>
      <c r="B288" s="57"/>
      <c r="C288" s="57"/>
      <c r="D288" s="57"/>
      <c r="E288" s="57"/>
      <c r="F288" s="57"/>
      <c r="G288" s="57"/>
      <c r="H288" s="57"/>
      <c r="I288" s="57"/>
      <c r="J288" s="57"/>
      <c r="L288" s="57"/>
      <c r="M288" s="57"/>
      <c r="N288" s="57"/>
      <c r="O288" s="57"/>
      <c r="P288" s="57"/>
      <c r="Q288" s="57"/>
      <c r="R288" s="57"/>
      <c r="S288" s="57"/>
      <c r="T288" s="57"/>
      <c r="U288" s="57"/>
      <c r="V288" s="57"/>
      <c r="W288" s="57"/>
      <c r="X288" s="57"/>
      <c r="Y288" s="98"/>
      <c r="AA288" s="98"/>
      <c r="AR288" s="98"/>
      <c r="AS288" s="57"/>
      <c r="AU288" s="57"/>
      <c r="BF288" s="98"/>
      <c r="BG288" s="98"/>
      <c r="BH288" s="98"/>
      <c r="BI288" s="98"/>
      <c r="BJ288" s="98"/>
      <c r="BK288" s="98"/>
      <c r="BL288" s="98"/>
      <c r="BM288" s="57"/>
    </row>
    <row r="289" spans="1:65" ht="11.25" x14ac:dyDescent="0.2">
      <c r="A289" s="57"/>
      <c r="B289" s="57"/>
      <c r="C289" s="57"/>
      <c r="D289" s="57"/>
      <c r="E289" s="57"/>
      <c r="F289" s="57"/>
      <c r="G289" s="57"/>
      <c r="H289" s="57"/>
      <c r="I289" s="57"/>
      <c r="J289" s="57"/>
      <c r="L289" s="57"/>
      <c r="M289" s="57"/>
      <c r="N289" s="57"/>
      <c r="O289" s="57"/>
      <c r="P289" s="57"/>
      <c r="Q289" s="57"/>
      <c r="R289" s="57"/>
      <c r="S289" s="57"/>
      <c r="T289" s="57"/>
      <c r="U289" s="57"/>
      <c r="V289" s="57"/>
      <c r="W289" s="57"/>
      <c r="X289" s="57"/>
      <c r="Y289" s="98"/>
      <c r="AA289" s="98"/>
      <c r="AR289" s="98"/>
      <c r="AS289" s="57"/>
      <c r="AU289" s="57"/>
      <c r="BF289" s="98"/>
      <c r="BG289" s="98"/>
      <c r="BH289" s="98"/>
      <c r="BI289" s="98"/>
      <c r="BJ289" s="98"/>
      <c r="BK289" s="98"/>
      <c r="BL289" s="98"/>
      <c r="BM289" s="57"/>
    </row>
    <row r="290" spans="1:65" ht="11.25" x14ac:dyDescent="0.2">
      <c r="A290" s="57"/>
      <c r="B290" s="57"/>
      <c r="C290" s="57"/>
      <c r="D290" s="57"/>
      <c r="E290" s="57"/>
      <c r="F290" s="57"/>
      <c r="G290" s="57"/>
      <c r="H290" s="57"/>
      <c r="I290" s="57"/>
      <c r="J290" s="57"/>
      <c r="L290" s="57"/>
      <c r="M290" s="57"/>
      <c r="N290" s="57"/>
      <c r="O290" s="57"/>
      <c r="P290" s="57"/>
      <c r="Q290" s="57"/>
      <c r="R290" s="57"/>
      <c r="S290" s="57"/>
      <c r="T290" s="57"/>
      <c r="U290" s="57"/>
      <c r="V290" s="57"/>
      <c r="W290" s="57"/>
      <c r="X290" s="57"/>
      <c r="Y290" s="98"/>
      <c r="AA290" s="98"/>
      <c r="AR290" s="98"/>
      <c r="AS290" s="57"/>
      <c r="AU290" s="57"/>
      <c r="BF290" s="98"/>
      <c r="BG290" s="98"/>
      <c r="BH290" s="98"/>
      <c r="BI290" s="98"/>
      <c r="BJ290" s="98"/>
      <c r="BK290" s="98"/>
      <c r="BL290" s="98"/>
      <c r="BM290" s="57"/>
    </row>
    <row r="291" spans="1:65" ht="11.25" x14ac:dyDescent="0.2">
      <c r="A291" s="57"/>
      <c r="B291" s="57"/>
      <c r="C291" s="57"/>
      <c r="D291" s="57"/>
      <c r="E291" s="57"/>
      <c r="F291" s="57"/>
      <c r="G291" s="57"/>
      <c r="H291" s="57"/>
      <c r="I291" s="57"/>
      <c r="J291" s="57"/>
      <c r="L291" s="57"/>
      <c r="M291" s="57"/>
      <c r="N291" s="57"/>
      <c r="O291" s="57"/>
      <c r="P291" s="57"/>
      <c r="Q291" s="57"/>
      <c r="R291" s="57"/>
      <c r="S291" s="57"/>
      <c r="T291" s="57"/>
      <c r="U291" s="57"/>
      <c r="V291" s="57"/>
      <c r="W291" s="57"/>
      <c r="X291" s="57"/>
      <c r="Y291" s="98"/>
      <c r="AA291" s="98"/>
      <c r="AR291" s="98"/>
      <c r="AS291" s="57"/>
      <c r="AU291" s="57"/>
      <c r="BF291" s="98"/>
      <c r="BG291" s="98"/>
      <c r="BH291" s="98"/>
      <c r="BI291" s="98"/>
      <c r="BJ291" s="98"/>
      <c r="BK291" s="98"/>
      <c r="BL291" s="98"/>
      <c r="BM291" s="57"/>
    </row>
    <row r="292" spans="1:65" ht="11.25" x14ac:dyDescent="0.2">
      <c r="A292" s="57"/>
      <c r="B292" s="57"/>
      <c r="C292" s="57"/>
      <c r="D292" s="57"/>
      <c r="E292" s="57"/>
      <c r="F292" s="57"/>
      <c r="G292" s="57"/>
      <c r="H292" s="57"/>
      <c r="I292" s="57"/>
      <c r="J292" s="57"/>
      <c r="L292" s="57"/>
      <c r="M292" s="57"/>
      <c r="N292" s="57"/>
      <c r="O292" s="57"/>
      <c r="P292" s="57"/>
      <c r="Q292" s="57"/>
      <c r="R292" s="57"/>
      <c r="S292" s="57"/>
      <c r="T292" s="57"/>
      <c r="U292" s="57"/>
      <c r="V292" s="57"/>
      <c r="W292" s="57"/>
      <c r="X292" s="57"/>
      <c r="Y292" s="98"/>
      <c r="AA292" s="98"/>
      <c r="AR292" s="98"/>
      <c r="AS292" s="57"/>
      <c r="AU292" s="57"/>
      <c r="BF292" s="98"/>
      <c r="BG292" s="98"/>
      <c r="BH292" s="98"/>
      <c r="BI292" s="98"/>
      <c r="BJ292" s="98"/>
      <c r="BK292" s="98"/>
      <c r="BL292" s="98"/>
      <c r="BM292" s="57"/>
    </row>
    <row r="293" spans="1:65" ht="11.25" x14ac:dyDescent="0.2">
      <c r="A293" s="57"/>
      <c r="B293" s="57"/>
      <c r="C293" s="57"/>
      <c r="D293" s="57"/>
      <c r="E293" s="57"/>
      <c r="F293" s="57"/>
      <c r="G293" s="57"/>
      <c r="H293" s="57"/>
      <c r="I293" s="57"/>
      <c r="J293" s="57"/>
      <c r="L293" s="57"/>
      <c r="M293" s="57"/>
      <c r="N293" s="57"/>
      <c r="O293" s="57"/>
      <c r="P293" s="57"/>
      <c r="Q293" s="57"/>
      <c r="R293" s="57"/>
      <c r="S293" s="57"/>
      <c r="T293" s="57"/>
      <c r="U293" s="57"/>
      <c r="V293" s="57"/>
      <c r="W293" s="57"/>
      <c r="X293" s="57"/>
      <c r="Y293" s="98"/>
      <c r="AA293" s="98"/>
      <c r="AR293" s="98"/>
      <c r="AS293" s="57"/>
      <c r="AU293" s="57"/>
      <c r="BF293" s="98"/>
      <c r="BG293" s="98"/>
      <c r="BH293" s="98"/>
      <c r="BI293" s="98"/>
      <c r="BJ293" s="98"/>
      <c r="BK293" s="98"/>
      <c r="BL293" s="98"/>
      <c r="BM293" s="57"/>
    </row>
    <row r="294" spans="1:65" ht="11.25" x14ac:dyDescent="0.2">
      <c r="A294" s="57"/>
      <c r="B294" s="57"/>
      <c r="C294" s="57"/>
      <c r="D294" s="57"/>
      <c r="E294" s="57"/>
      <c r="F294" s="57"/>
      <c r="G294" s="57"/>
      <c r="H294" s="57"/>
      <c r="I294" s="57"/>
      <c r="J294" s="57"/>
      <c r="L294" s="57"/>
      <c r="M294" s="57"/>
      <c r="N294" s="57"/>
      <c r="O294" s="57"/>
      <c r="P294" s="57"/>
      <c r="Q294" s="57"/>
      <c r="R294" s="57"/>
      <c r="S294" s="57"/>
      <c r="T294" s="57"/>
      <c r="U294" s="57"/>
      <c r="V294" s="57"/>
      <c r="W294" s="57"/>
      <c r="X294" s="57"/>
      <c r="Y294" s="98"/>
      <c r="AA294" s="98"/>
      <c r="AR294" s="98"/>
      <c r="AS294" s="57"/>
      <c r="AU294" s="57"/>
      <c r="BF294" s="98"/>
      <c r="BG294" s="98"/>
      <c r="BH294" s="98"/>
      <c r="BI294" s="98"/>
      <c r="BJ294" s="98"/>
      <c r="BK294" s="98"/>
      <c r="BL294" s="98"/>
      <c r="BM294" s="57"/>
    </row>
    <row r="295" spans="1:65" ht="11.25" x14ac:dyDescent="0.2">
      <c r="A295" s="57"/>
      <c r="B295" s="57"/>
      <c r="C295" s="57"/>
      <c r="D295" s="57"/>
      <c r="E295" s="57"/>
      <c r="F295" s="57"/>
      <c r="G295" s="57"/>
      <c r="H295" s="57"/>
      <c r="I295" s="57"/>
      <c r="J295" s="57"/>
      <c r="L295" s="57"/>
      <c r="M295" s="57"/>
      <c r="N295" s="57"/>
      <c r="O295" s="57"/>
      <c r="P295" s="57"/>
      <c r="Q295" s="57"/>
      <c r="R295" s="57"/>
      <c r="S295" s="57"/>
      <c r="T295" s="57"/>
      <c r="U295" s="57"/>
      <c r="V295" s="57"/>
      <c r="W295" s="57"/>
      <c r="X295" s="57"/>
      <c r="Y295" s="98"/>
      <c r="AA295" s="98"/>
      <c r="AR295" s="98"/>
      <c r="AS295" s="57"/>
      <c r="AU295" s="57"/>
      <c r="BF295" s="98"/>
      <c r="BG295" s="98"/>
      <c r="BH295" s="98"/>
      <c r="BI295" s="98"/>
      <c r="BJ295" s="98"/>
      <c r="BK295" s="98"/>
      <c r="BL295" s="98"/>
      <c r="BM295" s="57"/>
    </row>
    <row r="296" spans="1:65" ht="11.25" x14ac:dyDescent="0.2">
      <c r="A296" s="57"/>
      <c r="B296" s="57"/>
      <c r="C296" s="57"/>
      <c r="D296" s="57"/>
      <c r="E296" s="57"/>
      <c r="F296" s="57"/>
      <c r="G296" s="57"/>
      <c r="H296" s="57"/>
      <c r="I296" s="57"/>
      <c r="J296" s="57"/>
      <c r="L296" s="57"/>
      <c r="M296" s="57"/>
      <c r="N296" s="57"/>
      <c r="O296" s="57"/>
      <c r="P296" s="57"/>
      <c r="Q296" s="57"/>
      <c r="R296" s="57"/>
      <c r="S296" s="57"/>
      <c r="T296" s="57"/>
      <c r="U296" s="57"/>
      <c r="V296" s="57"/>
      <c r="W296" s="57"/>
      <c r="X296" s="57"/>
      <c r="Y296" s="98"/>
      <c r="AA296" s="98"/>
      <c r="AR296" s="98"/>
      <c r="AS296" s="57"/>
      <c r="AU296" s="57"/>
      <c r="BF296" s="98"/>
      <c r="BG296" s="98"/>
      <c r="BH296" s="98"/>
      <c r="BI296" s="98"/>
      <c r="BJ296" s="98"/>
      <c r="BK296" s="98"/>
      <c r="BL296" s="98"/>
      <c r="BM296" s="57"/>
    </row>
    <row r="297" spans="1:65" ht="11.25" x14ac:dyDescent="0.2">
      <c r="A297" s="57"/>
      <c r="B297" s="57"/>
      <c r="C297" s="57"/>
      <c r="D297" s="57"/>
      <c r="E297" s="57"/>
      <c r="F297" s="57"/>
      <c r="G297" s="57"/>
      <c r="H297" s="57"/>
      <c r="I297" s="57"/>
      <c r="J297" s="57"/>
      <c r="L297" s="57"/>
      <c r="M297" s="57"/>
      <c r="N297" s="57"/>
      <c r="O297" s="57"/>
      <c r="P297" s="57"/>
      <c r="Q297" s="57"/>
      <c r="R297" s="57"/>
      <c r="S297" s="57"/>
      <c r="T297" s="57"/>
      <c r="U297" s="57"/>
      <c r="V297" s="57"/>
      <c r="W297" s="57"/>
      <c r="X297" s="57"/>
      <c r="Y297" s="98"/>
      <c r="AA297" s="98"/>
      <c r="AR297" s="98"/>
      <c r="AS297" s="57"/>
      <c r="AU297" s="57"/>
      <c r="BF297" s="98"/>
      <c r="BG297" s="98"/>
      <c r="BH297" s="98"/>
      <c r="BI297" s="98"/>
      <c r="BJ297" s="98"/>
      <c r="BK297" s="98"/>
      <c r="BL297" s="98"/>
      <c r="BM297" s="57"/>
    </row>
    <row r="298" spans="1:65" ht="11.25" x14ac:dyDescent="0.2">
      <c r="A298" s="57"/>
      <c r="B298" s="57"/>
      <c r="C298" s="57"/>
      <c r="D298" s="57"/>
      <c r="E298" s="57"/>
      <c r="F298" s="57"/>
      <c r="G298" s="57"/>
      <c r="H298" s="57"/>
      <c r="I298" s="57"/>
      <c r="J298" s="57"/>
      <c r="L298" s="57"/>
      <c r="M298" s="57"/>
      <c r="N298" s="57"/>
      <c r="O298" s="57"/>
      <c r="P298" s="57"/>
      <c r="Q298" s="57"/>
      <c r="R298" s="57"/>
      <c r="S298" s="57"/>
      <c r="T298" s="57"/>
      <c r="U298" s="57"/>
      <c r="V298" s="57"/>
      <c r="W298" s="57"/>
      <c r="X298" s="57"/>
      <c r="Y298" s="98"/>
      <c r="AA298" s="98"/>
      <c r="AR298" s="98"/>
      <c r="AS298" s="57"/>
      <c r="AU298" s="57"/>
      <c r="BF298" s="98"/>
      <c r="BG298" s="98"/>
      <c r="BH298" s="98"/>
      <c r="BI298" s="98"/>
      <c r="BJ298" s="98"/>
      <c r="BK298" s="98"/>
      <c r="BL298" s="98"/>
      <c r="BM298" s="57"/>
    </row>
    <row r="299" spans="1:65" ht="11.25" x14ac:dyDescent="0.2">
      <c r="A299" s="57"/>
      <c r="B299" s="57"/>
      <c r="C299" s="57"/>
      <c r="D299" s="57"/>
      <c r="E299" s="57"/>
      <c r="F299" s="57"/>
      <c r="G299" s="57"/>
      <c r="H299" s="57"/>
      <c r="I299" s="57"/>
      <c r="J299" s="57"/>
      <c r="L299" s="57"/>
      <c r="M299" s="57"/>
      <c r="N299" s="57"/>
      <c r="O299" s="57"/>
      <c r="P299" s="57"/>
      <c r="Q299" s="57"/>
      <c r="R299" s="57"/>
      <c r="S299" s="57"/>
      <c r="T299" s="57"/>
      <c r="U299" s="57"/>
      <c r="V299" s="57"/>
      <c r="W299" s="57"/>
      <c r="X299" s="57"/>
      <c r="Y299" s="98"/>
      <c r="AA299" s="98"/>
      <c r="AR299" s="98"/>
      <c r="AS299" s="57"/>
      <c r="AU299" s="57"/>
      <c r="BF299" s="98"/>
      <c r="BG299" s="98"/>
      <c r="BH299" s="98"/>
      <c r="BI299" s="98"/>
      <c r="BJ299" s="98"/>
      <c r="BK299" s="98"/>
      <c r="BL299" s="98"/>
      <c r="BM299" s="57"/>
    </row>
    <row r="300" spans="1:65" ht="11.25" x14ac:dyDescent="0.2">
      <c r="A300" s="57"/>
      <c r="B300" s="57"/>
      <c r="C300" s="57"/>
      <c r="D300" s="57"/>
      <c r="E300" s="57"/>
      <c r="F300" s="57"/>
      <c r="G300" s="57"/>
      <c r="H300" s="57"/>
      <c r="I300" s="57"/>
      <c r="J300" s="57"/>
      <c r="L300" s="57"/>
      <c r="M300" s="57"/>
      <c r="N300" s="57"/>
      <c r="O300" s="57"/>
      <c r="P300" s="57"/>
      <c r="Q300" s="57"/>
      <c r="R300" s="57"/>
      <c r="S300" s="57"/>
      <c r="T300" s="57"/>
      <c r="U300" s="57"/>
      <c r="V300" s="57"/>
      <c r="W300" s="57"/>
      <c r="X300" s="57"/>
      <c r="Y300" s="98"/>
      <c r="AA300" s="98"/>
      <c r="AR300" s="98"/>
      <c r="AS300" s="57"/>
      <c r="AU300" s="57"/>
      <c r="BF300" s="98"/>
      <c r="BG300" s="98"/>
      <c r="BH300" s="98"/>
      <c r="BI300" s="98"/>
      <c r="BJ300" s="98"/>
      <c r="BK300" s="98"/>
      <c r="BL300" s="98"/>
      <c r="BM300" s="57"/>
    </row>
    <row r="301" spans="1:65" ht="11.25" x14ac:dyDescent="0.2">
      <c r="A301" s="57"/>
      <c r="B301" s="57"/>
      <c r="C301" s="57"/>
      <c r="D301" s="57"/>
      <c r="E301" s="57"/>
      <c r="F301" s="57"/>
      <c r="G301" s="57"/>
      <c r="H301" s="57"/>
      <c r="I301" s="57"/>
      <c r="J301" s="57"/>
      <c r="L301" s="57"/>
      <c r="M301" s="57"/>
      <c r="N301" s="57"/>
      <c r="O301" s="57"/>
      <c r="P301" s="57"/>
      <c r="Q301" s="57"/>
      <c r="R301" s="57"/>
      <c r="S301" s="57"/>
      <c r="T301" s="57"/>
      <c r="U301" s="57"/>
      <c r="V301" s="57"/>
      <c r="W301" s="57"/>
      <c r="X301" s="57"/>
      <c r="Y301" s="98"/>
      <c r="AA301" s="98"/>
      <c r="AR301" s="98"/>
      <c r="AS301" s="57"/>
      <c r="AU301" s="57"/>
      <c r="BF301" s="98"/>
      <c r="BG301" s="98"/>
      <c r="BH301" s="98"/>
      <c r="BI301" s="98"/>
      <c r="BJ301" s="98"/>
      <c r="BK301" s="98"/>
      <c r="BL301" s="98"/>
      <c r="BM301" s="57"/>
    </row>
    <row r="302" spans="1:65" ht="11.25" x14ac:dyDescent="0.2">
      <c r="A302" s="57"/>
      <c r="B302" s="57"/>
      <c r="C302" s="57"/>
      <c r="D302" s="57"/>
      <c r="E302" s="57"/>
      <c r="F302" s="57"/>
      <c r="G302" s="57"/>
      <c r="H302" s="57"/>
      <c r="I302" s="57"/>
      <c r="J302" s="57"/>
      <c r="L302" s="57"/>
      <c r="M302" s="57"/>
      <c r="N302" s="57"/>
      <c r="O302" s="57"/>
      <c r="P302" s="57"/>
      <c r="Q302" s="57"/>
      <c r="R302" s="57"/>
      <c r="S302" s="57"/>
      <c r="T302" s="57"/>
      <c r="U302" s="57"/>
      <c r="V302" s="57"/>
      <c r="W302" s="57"/>
      <c r="X302" s="57"/>
      <c r="Y302" s="98"/>
      <c r="AA302" s="98"/>
      <c r="AR302" s="98"/>
      <c r="AS302" s="57"/>
      <c r="AU302" s="57"/>
      <c r="BF302" s="98"/>
      <c r="BG302" s="98"/>
      <c r="BH302" s="98"/>
      <c r="BI302" s="98"/>
      <c r="BJ302" s="98"/>
      <c r="BK302" s="98"/>
      <c r="BL302" s="98"/>
      <c r="BM302" s="57"/>
    </row>
    <row r="303" spans="1:65" ht="11.25" x14ac:dyDescent="0.2">
      <c r="A303" s="57"/>
      <c r="B303" s="57"/>
      <c r="C303" s="57"/>
      <c r="D303" s="57"/>
      <c r="E303" s="57"/>
      <c r="F303" s="57"/>
      <c r="G303" s="57"/>
      <c r="H303" s="57"/>
      <c r="I303" s="57"/>
      <c r="J303" s="57"/>
      <c r="L303" s="57"/>
      <c r="M303" s="57"/>
      <c r="N303" s="57"/>
      <c r="O303" s="57"/>
      <c r="P303" s="57"/>
      <c r="Q303" s="57"/>
      <c r="R303" s="57"/>
      <c r="S303" s="57"/>
      <c r="T303" s="57"/>
      <c r="U303" s="57"/>
      <c r="V303" s="57"/>
      <c r="W303" s="57"/>
      <c r="X303" s="57"/>
      <c r="Y303" s="98"/>
      <c r="AA303" s="98"/>
      <c r="AR303" s="98"/>
      <c r="AS303" s="57"/>
      <c r="AU303" s="57"/>
      <c r="BF303" s="98"/>
      <c r="BG303" s="98"/>
      <c r="BH303" s="98"/>
      <c r="BI303" s="98"/>
      <c r="BJ303" s="98"/>
      <c r="BK303" s="98"/>
      <c r="BL303" s="98"/>
      <c r="BM303" s="57"/>
    </row>
    <row r="304" spans="1:65" ht="11.25" x14ac:dyDescent="0.2">
      <c r="A304" s="57"/>
      <c r="B304" s="57"/>
      <c r="C304" s="57"/>
      <c r="D304" s="57"/>
      <c r="E304" s="57"/>
      <c r="F304" s="57"/>
      <c r="G304" s="57"/>
      <c r="H304" s="57"/>
      <c r="I304" s="57"/>
      <c r="J304" s="57"/>
      <c r="L304" s="57"/>
      <c r="M304" s="57"/>
      <c r="N304" s="57"/>
      <c r="O304" s="57"/>
      <c r="P304" s="57"/>
      <c r="Q304" s="57"/>
      <c r="R304" s="57"/>
      <c r="S304" s="57"/>
      <c r="T304" s="57"/>
      <c r="U304" s="57"/>
      <c r="V304" s="57"/>
      <c r="W304" s="57"/>
      <c r="X304" s="57"/>
      <c r="Y304" s="98"/>
      <c r="AA304" s="98"/>
      <c r="AR304" s="98"/>
      <c r="AS304" s="57"/>
      <c r="AU304" s="57"/>
      <c r="BF304" s="98"/>
      <c r="BG304" s="98"/>
      <c r="BH304" s="98"/>
      <c r="BI304" s="98"/>
      <c r="BJ304" s="98"/>
      <c r="BK304" s="98"/>
      <c r="BL304" s="98"/>
      <c r="BM304" s="57"/>
    </row>
    <row r="305" spans="1:65" ht="11.25" x14ac:dyDescent="0.2">
      <c r="A305" s="57"/>
      <c r="B305" s="57"/>
      <c r="C305" s="57"/>
      <c r="D305" s="57"/>
      <c r="E305" s="57"/>
      <c r="F305" s="57"/>
      <c r="G305" s="57"/>
      <c r="H305" s="57"/>
      <c r="I305" s="57"/>
      <c r="J305" s="57"/>
      <c r="L305" s="57"/>
      <c r="M305" s="57"/>
      <c r="N305" s="57"/>
      <c r="O305" s="57"/>
      <c r="P305" s="57"/>
      <c r="Q305" s="57"/>
      <c r="R305" s="57"/>
      <c r="S305" s="57"/>
      <c r="T305" s="57"/>
      <c r="U305" s="57"/>
      <c r="V305" s="57"/>
      <c r="W305" s="57"/>
      <c r="X305" s="57"/>
      <c r="Y305" s="98"/>
      <c r="AA305" s="98"/>
      <c r="AR305" s="98"/>
      <c r="AS305" s="57"/>
      <c r="AU305" s="57"/>
      <c r="BF305" s="98"/>
      <c r="BG305" s="98"/>
      <c r="BH305" s="98"/>
      <c r="BI305" s="98"/>
      <c r="BJ305" s="98"/>
      <c r="BK305" s="98"/>
      <c r="BL305" s="98"/>
      <c r="BM305" s="57"/>
    </row>
    <row r="306" spans="1:65" ht="11.25" x14ac:dyDescent="0.2">
      <c r="A306" s="57"/>
      <c r="B306" s="57"/>
      <c r="C306" s="57"/>
      <c r="D306" s="57"/>
      <c r="E306" s="57"/>
      <c r="F306" s="57"/>
      <c r="G306" s="57"/>
      <c r="H306" s="57"/>
      <c r="I306" s="57"/>
      <c r="J306" s="57"/>
      <c r="L306" s="57"/>
      <c r="M306" s="57"/>
      <c r="N306" s="57"/>
      <c r="O306" s="57"/>
      <c r="P306" s="57"/>
      <c r="Q306" s="57"/>
      <c r="R306" s="57"/>
      <c r="S306" s="57"/>
      <c r="T306" s="57"/>
      <c r="U306" s="57"/>
      <c r="V306" s="57"/>
      <c r="W306" s="57"/>
      <c r="X306" s="57"/>
      <c r="Y306" s="98"/>
      <c r="AA306" s="98"/>
      <c r="AR306" s="98"/>
      <c r="AS306" s="57"/>
      <c r="AU306" s="57"/>
      <c r="BF306" s="98"/>
      <c r="BG306" s="98"/>
      <c r="BH306" s="98"/>
      <c r="BI306" s="98"/>
      <c r="BJ306" s="98"/>
      <c r="BK306" s="98"/>
      <c r="BL306" s="98"/>
      <c r="BM306" s="57"/>
    </row>
    <row r="307" spans="1:65" ht="11.25" x14ac:dyDescent="0.2">
      <c r="A307" s="57"/>
      <c r="B307" s="57"/>
      <c r="C307" s="57"/>
      <c r="D307" s="57"/>
      <c r="E307" s="57"/>
      <c r="F307" s="57"/>
      <c r="G307" s="57"/>
      <c r="H307" s="57"/>
      <c r="I307" s="57"/>
      <c r="J307" s="57"/>
      <c r="L307" s="57"/>
      <c r="M307" s="57"/>
      <c r="N307" s="57"/>
      <c r="O307" s="57"/>
      <c r="P307" s="57"/>
      <c r="Q307" s="57"/>
      <c r="R307" s="57"/>
      <c r="S307" s="57"/>
      <c r="T307" s="57"/>
      <c r="U307" s="57"/>
      <c r="V307" s="57"/>
      <c r="W307" s="57"/>
      <c r="X307" s="57"/>
      <c r="Y307" s="98"/>
      <c r="AA307" s="98"/>
      <c r="AR307" s="98"/>
      <c r="AS307" s="57"/>
      <c r="AU307" s="57"/>
      <c r="BF307" s="98"/>
      <c r="BG307" s="98"/>
      <c r="BH307" s="98"/>
      <c r="BI307" s="98"/>
      <c r="BJ307" s="98"/>
      <c r="BK307" s="98"/>
      <c r="BL307" s="98"/>
      <c r="BM307" s="57"/>
    </row>
    <row r="308" spans="1:65" ht="11.25" x14ac:dyDescent="0.2">
      <c r="A308" s="57"/>
      <c r="B308" s="57"/>
      <c r="C308" s="57"/>
      <c r="D308" s="57"/>
      <c r="E308" s="57"/>
      <c r="F308" s="57"/>
      <c r="G308" s="57"/>
      <c r="H308" s="57"/>
      <c r="I308" s="57"/>
      <c r="J308" s="57"/>
      <c r="L308" s="57"/>
      <c r="M308" s="57"/>
      <c r="N308" s="57"/>
      <c r="O308" s="57"/>
      <c r="P308" s="57"/>
      <c r="Q308" s="57"/>
      <c r="R308" s="57"/>
      <c r="S308" s="57"/>
      <c r="T308" s="57"/>
      <c r="U308" s="57"/>
      <c r="V308" s="57"/>
      <c r="W308" s="57"/>
      <c r="X308" s="57"/>
      <c r="Y308" s="98"/>
      <c r="AA308" s="98"/>
      <c r="AR308" s="98"/>
      <c r="AS308" s="57"/>
      <c r="AU308" s="57"/>
      <c r="BF308" s="98"/>
      <c r="BG308" s="98"/>
      <c r="BH308" s="98"/>
      <c r="BI308" s="98"/>
      <c r="BJ308" s="98"/>
      <c r="BK308" s="98"/>
      <c r="BL308" s="98"/>
      <c r="BM308" s="57"/>
    </row>
    <row r="309" spans="1:65" ht="11.25" x14ac:dyDescent="0.2">
      <c r="A309" s="57"/>
      <c r="B309" s="57"/>
      <c r="C309" s="57"/>
      <c r="D309" s="57"/>
      <c r="E309" s="57"/>
      <c r="F309" s="57"/>
      <c r="G309" s="57"/>
      <c r="H309" s="57"/>
      <c r="I309" s="57"/>
      <c r="J309" s="57"/>
      <c r="L309" s="57"/>
      <c r="M309" s="57"/>
      <c r="N309" s="57"/>
      <c r="O309" s="57"/>
      <c r="P309" s="57"/>
      <c r="Q309" s="57"/>
      <c r="R309" s="57"/>
      <c r="S309" s="57"/>
      <c r="T309" s="57"/>
      <c r="U309" s="57"/>
      <c r="V309" s="57"/>
      <c r="W309" s="57"/>
      <c r="X309" s="57"/>
      <c r="Y309" s="98"/>
      <c r="AA309" s="98"/>
      <c r="AR309" s="98"/>
      <c r="AS309" s="57"/>
      <c r="AU309" s="57"/>
      <c r="BF309" s="98"/>
      <c r="BG309" s="98"/>
      <c r="BH309" s="98"/>
      <c r="BI309" s="98"/>
      <c r="BJ309" s="98"/>
      <c r="BK309" s="98"/>
      <c r="BL309" s="98"/>
      <c r="BM309" s="57"/>
    </row>
    <row r="310" spans="1:65" ht="11.25" x14ac:dyDescent="0.2">
      <c r="A310" s="57"/>
      <c r="B310" s="57"/>
      <c r="C310" s="57"/>
      <c r="D310" s="57"/>
      <c r="E310" s="57"/>
      <c r="F310" s="57"/>
      <c r="G310" s="57"/>
      <c r="H310" s="57"/>
      <c r="I310" s="57"/>
      <c r="J310" s="57"/>
      <c r="L310" s="57"/>
      <c r="M310" s="57"/>
      <c r="N310" s="57"/>
      <c r="O310" s="57"/>
      <c r="P310" s="57"/>
      <c r="Q310" s="57"/>
      <c r="R310" s="57"/>
      <c r="S310" s="57"/>
      <c r="T310" s="57"/>
      <c r="U310" s="57"/>
      <c r="V310" s="57"/>
      <c r="W310" s="57"/>
      <c r="X310" s="57"/>
      <c r="Y310" s="98"/>
      <c r="AA310" s="98"/>
      <c r="AR310" s="98"/>
      <c r="AS310" s="57"/>
      <c r="AU310" s="57"/>
      <c r="BF310" s="98"/>
      <c r="BG310" s="98"/>
      <c r="BH310" s="98"/>
      <c r="BI310" s="98"/>
      <c r="BJ310" s="98"/>
      <c r="BK310" s="98"/>
      <c r="BL310" s="98"/>
      <c r="BM310" s="57"/>
    </row>
    <row r="311" spans="1:65" ht="11.25" x14ac:dyDescent="0.2">
      <c r="A311" s="57"/>
      <c r="B311" s="57"/>
      <c r="C311" s="57"/>
      <c r="D311" s="57"/>
      <c r="E311" s="57"/>
      <c r="F311" s="57"/>
      <c r="G311" s="57"/>
      <c r="H311" s="57"/>
      <c r="I311" s="57"/>
      <c r="J311" s="57"/>
      <c r="L311" s="57"/>
      <c r="M311" s="57"/>
      <c r="N311" s="57"/>
      <c r="O311" s="57"/>
      <c r="P311" s="57"/>
      <c r="Q311" s="57"/>
      <c r="R311" s="57"/>
      <c r="S311" s="57"/>
      <c r="T311" s="57"/>
      <c r="U311" s="57"/>
      <c r="V311" s="57"/>
      <c r="W311" s="57"/>
      <c r="X311" s="57"/>
      <c r="Y311" s="98"/>
      <c r="AA311" s="98"/>
      <c r="AR311" s="98"/>
      <c r="AS311" s="57"/>
      <c r="AU311" s="57"/>
      <c r="BF311" s="98"/>
      <c r="BG311" s="98"/>
      <c r="BH311" s="98"/>
      <c r="BI311" s="98"/>
      <c r="BJ311" s="98"/>
      <c r="BK311" s="98"/>
      <c r="BL311" s="98"/>
      <c r="BM311" s="57"/>
    </row>
    <row r="312" spans="1:65" ht="11.25" x14ac:dyDescent="0.2">
      <c r="A312" s="57"/>
      <c r="B312" s="57"/>
      <c r="C312" s="57"/>
      <c r="D312" s="57"/>
      <c r="E312" s="57"/>
      <c r="F312" s="57"/>
      <c r="G312" s="57"/>
      <c r="H312" s="57"/>
      <c r="I312" s="57"/>
      <c r="J312" s="57"/>
      <c r="L312" s="57"/>
      <c r="M312" s="57"/>
      <c r="N312" s="57"/>
      <c r="O312" s="57"/>
      <c r="P312" s="57"/>
      <c r="Q312" s="57"/>
      <c r="R312" s="57"/>
      <c r="S312" s="57"/>
      <c r="T312" s="57"/>
      <c r="U312" s="57"/>
      <c r="V312" s="57"/>
      <c r="W312" s="57"/>
      <c r="X312" s="57"/>
      <c r="Y312" s="98"/>
      <c r="AA312" s="98"/>
      <c r="AR312" s="98"/>
      <c r="AS312" s="57"/>
      <c r="AU312" s="57"/>
      <c r="BF312" s="98"/>
      <c r="BG312" s="98"/>
      <c r="BH312" s="98"/>
      <c r="BI312" s="98"/>
      <c r="BJ312" s="98"/>
      <c r="BK312" s="98"/>
      <c r="BL312" s="98"/>
      <c r="BM312" s="57"/>
    </row>
    <row r="313" spans="1:65" ht="11.25" x14ac:dyDescent="0.2">
      <c r="A313" s="57"/>
      <c r="B313" s="57"/>
      <c r="C313" s="57"/>
      <c r="D313" s="57"/>
      <c r="E313" s="57"/>
      <c r="F313" s="57"/>
      <c r="G313" s="57"/>
      <c r="H313" s="57"/>
      <c r="I313" s="57"/>
      <c r="J313" s="57"/>
      <c r="L313" s="57"/>
      <c r="M313" s="57"/>
      <c r="N313" s="57"/>
      <c r="O313" s="57"/>
      <c r="P313" s="57"/>
      <c r="Q313" s="57"/>
      <c r="R313" s="57"/>
      <c r="S313" s="57"/>
      <c r="T313" s="57"/>
      <c r="U313" s="57"/>
      <c r="V313" s="57"/>
      <c r="W313" s="57"/>
      <c r="X313" s="57"/>
      <c r="Y313" s="98"/>
      <c r="AA313" s="98"/>
      <c r="AR313" s="98"/>
      <c r="AS313" s="57"/>
      <c r="AU313" s="57"/>
      <c r="BF313" s="98"/>
      <c r="BG313" s="98"/>
      <c r="BH313" s="98"/>
      <c r="BI313" s="98"/>
      <c r="BJ313" s="98"/>
      <c r="BK313" s="98"/>
      <c r="BL313" s="98"/>
      <c r="BM313" s="57"/>
    </row>
    <row r="314" spans="1:65" ht="11.25" x14ac:dyDescent="0.2">
      <c r="A314" s="57"/>
      <c r="B314" s="57"/>
      <c r="C314" s="57"/>
      <c r="D314" s="57"/>
      <c r="E314" s="57"/>
      <c r="F314" s="57"/>
      <c r="G314" s="57"/>
      <c r="H314" s="57"/>
      <c r="I314" s="57"/>
      <c r="J314" s="57"/>
      <c r="L314" s="57"/>
      <c r="M314" s="57"/>
      <c r="N314" s="57"/>
      <c r="O314" s="57"/>
      <c r="P314" s="57"/>
      <c r="Q314" s="57"/>
      <c r="R314" s="57"/>
      <c r="S314" s="57"/>
      <c r="T314" s="57"/>
      <c r="U314" s="57"/>
      <c r="V314" s="57"/>
      <c r="W314" s="57"/>
      <c r="X314" s="57"/>
      <c r="Y314" s="98"/>
      <c r="AA314" s="98"/>
      <c r="AR314" s="98"/>
      <c r="AS314" s="57"/>
      <c r="AU314" s="57"/>
      <c r="BF314" s="98"/>
      <c r="BG314" s="98"/>
      <c r="BH314" s="98"/>
      <c r="BI314" s="98"/>
      <c r="BJ314" s="98"/>
      <c r="BK314" s="98"/>
      <c r="BL314" s="98"/>
      <c r="BM314" s="57"/>
    </row>
    <row r="315" spans="1:65" ht="11.25" x14ac:dyDescent="0.2">
      <c r="A315" s="57"/>
      <c r="B315" s="57"/>
      <c r="C315" s="57"/>
      <c r="D315" s="57"/>
      <c r="E315" s="57"/>
      <c r="F315" s="57"/>
      <c r="G315" s="57"/>
      <c r="H315" s="57"/>
      <c r="I315" s="57"/>
      <c r="J315" s="57"/>
      <c r="L315" s="57"/>
      <c r="M315" s="57"/>
      <c r="N315" s="57"/>
      <c r="O315" s="57"/>
      <c r="P315" s="57"/>
      <c r="Q315" s="57"/>
      <c r="R315" s="57"/>
      <c r="S315" s="57"/>
      <c r="T315" s="57"/>
      <c r="U315" s="57"/>
      <c r="V315" s="57"/>
      <c r="W315" s="57"/>
      <c r="X315" s="57"/>
      <c r="Y315" s="98"/>
      <c r="AA315" s="98"/>
      <c r="AR315" s="98"/>
      <c r="AS315" s="57"/>
      <c r="AU315" s="57"/>
      <c r="BF315" s="98"/>
      <c r="BG315" s="98"/>
      <c r="BH315" s="98"/>
      <c r="BI315" s="98"/>
      <c r="BJ315" s="98"/>
      <c r="BK315" s="98"/>
      <c r="BL315" s="98"/>
      <c r="BM315" s="57"/>
    </row>
    <row r="316" spans="1:65" ht="11.25" x14ac:dyDescent="0.2">
      <c r="A316" s="57"/>
      <c r="B316" s="57"/>
      <c r="C316" s="57"/>
      <c r="D316" s="57"/>
      <c r="E316" s="57"/>
      <c r="F316" s="57"/>
      <c r="G316" s="57"/>
      <c r="H316" s="57"/>
      <c r="I316" s="57"/>
      <c r="J316" s="57"/>
      <c r="L316" s="57"/>
      <c r="M316" s="57"/>
      <c r="N316" s="57"/>
      <c r="O316" s="57"/>
      <c r="P316" s="57"/>
      <c r="Q316" s="57"/>
      <c r="R316" s="57"/>
      <c r="S316" s="57"/>
      <c r="T316" s="57"/>
      <c r="U316" s="57"/>
      <c r="V316" s="57"/>
      <c r="W316" s="57"/>
      <c r="X316" s="57"/>
      <c r="Y316" s="98"/>
      <c r="AA316" s="98"/>
      <c r="AR316" s="98"/>
      <c r="AS316" s="57"/>
      <c r="AU316" s="57"/>
      <c r="BF316" s="98"/>
      <c r="BG316" s="98"/>
      <c r="BH316" s="98"/>
      <c r="BI316" s="98"/>
      <c r="BJ316" s="98"/>
      <c r="BK316" s="98"/>
      <c r="BL316" s="98"/>
      <c r="BM316" s="57"/>
    </row>
    <row r="317" spans="1:65" ht="11.25" x14ac:dyDescent="0.2">
      <c r="A317" s="57"/>
      <c r="B317" s="57"/>
      <c r="C317" s="57"/>
      <c r="D317" s="57"/>
      <c r="E317" s="57"/>
      <c r="F317" s="57"/>
      <c r="G317" s="57"/>
      <c r="H317" s="57"/>
      <c r="I317" s="57"/>
      <c r="J317" s="57"/>
      <c r="L317" s="57"/>
      <c r="M317" s="57"/>
      <c r="N317" s="57"/>
      <c r="O317" s="57"/>
      <c r="P317" s="57"/>
      <c r="Q317" s="57"/>
      <c r="R317" s="57"/>
      <c r="S317" s="57"/>
      <c r="T317" s="57"/>
      <c r="U317" s="57"/>
      <c r="V317" s="57"/>
      <c r="W317" s="57"/>
      <c r="X317" s="57"/>
      <c r="Y317" s="98"/>
      <c r="AA317" s="98"/>
      <c r="AR317" s="98"/>
      <c r="AS317" s="57"/>
      <c r="AU317" s="57"/>
      <c r="BF317" s="98"/>
      <c r="BG317" s="98"/>
      <c r="BH317" s="98"/>
      <c r="BI317" s="98"/>
      <c r="BJ317" s="98"/>
      <c r="BK317" s="98"/>
      <c r="BL317" s="98"/>
      <c r="BM317" s="57"/>
    </row>
    <row r="318" spans="1:65" ht="11.25" x14ac:dyDescent="0.2">
      <c r="A318" s="57"/>
      <c r="B318" s="57"/>
      <c r="C318" s="57"/>
      <c r="D318" s="57"/>
      <c r="E318" s="57"/>
      <c r="F318" s="57"/>
      <c r="G318" s="57"/>
      <c r="H318" s="57"/>
      <c r="I318" s="57"/>
      <c r="J318" s="57"/>
      <c r="L318" s="57"/>
      <c r="M318" s="57"/>
      <c r="N318" s="57"/>
      <c r="O318" s="57"/>
      <c r="P318" s="57"/>
      <c r="Q318" s="57"/>
      <c r="R318" s="57"/>
      <c r="S318" s="57"/>
      <c r="T318" s="57"/>
      <c r="U318" s="57"/>
      <c r="V318" s="57"/>
      <c r="W318" s="57"/>
      <c r="X318" s="57"/>
      <c r="Y318" s="98"/>
      <c r="AA318" s="98"/>
      <c r="AR318" s="98"/>
      <c r="AS318" s="57"/>
      <c r="AU318" s="57"/>
      <c r="BF318" s="98"/>
      <c r="BG318" s="98"/>
      <c r="BH318" s="98"/>
      <c r="BI318" s="98"/>
      <c r="BJ318" s="98"/>
      <c r="BK318" s="98"/>
      <c r="BL318" s="98"/>
      <c r="BM318" s="57"/>
    </row>
    <row r="319" spans="1:65" ht="11.25" x14ac:dyDescent="0.2">
      <c r="A319" s="57"/>
      <c r="B319" s="57"/>
      <c r="C319" s="57"/>
      <c r="D319" s="57"/>
      <c r="E319" s="57"/>
      <c r="F319" s="57"/>
      <c r="G319" s="57"/>
      <c r="H319" s="57"/>
      <c r="I319" s="57"/>
      <c r="J319" s="57"/>
      <c r="L319" s="57"/>
      <c r="M319" s="57"/>
      <c r="N319" s="57"/>
      <c r="O319" s="57"/>
      <c r="P319" s="57"/>
      <c r="Q319" s="57"/>
      <c r="R319" s="57"/>
      <c r="S319" s="57"/>
      <c r="T319" s="57"/>
      <c r="U319" s="57"/>
      <c r="V319" s="57"/>
      <c r="W319" s="57"/>
      <c r="X319" s="57"/>
      <c r="Y319" s="98"/>
      <c r="AA319" s="98"/>
      <c r="AR319" s="98"/>
      <c r="AS319" s="57"/>
      <c r="AU319" s="57"/>
      <c r="BF319" s="98"/>
      <c r="BG319" s="98"/>
      <c r="BH319" s="98"/>
      <c r="BI319" s="98"/>
      <c r="BJ319" s="98"/>
      <c r="BK319" s="98"/>
      <c r="BL319" s="98"/>
      <c r="BM319" s="57"/>
    </row>
    <row r="320" spans="1:65" ht="11.25" x14ac:dyDescent="0.2">
      <c r="A320" s="57"/>
      <c r="B320" s="57"/>
      <c r="C320" s="57"/>
      <c r="D320" s="57"/>
      <c r="E320" s="57"/>
      <c r="F320" s="57"/>
      <c r="G320" s="57"/>
      <c r="H320" s="57"/>
      <c r="I320" s="57"/>
      <c r="J320" s="57"/>
      <c r="L320" s="57"/>
      <c r="M320" s="57"/>
      <c r="N320" s="57"/>
      <c r="O320" s="57"/>
      <c r="P320" s="57"/>
      <c r="Q320" s="57"/>
      <c r="R320" s="57"/>
      <c r="S320" s="57"/>
      <c r="T320" s="57"/>
      <c r="U320" s="57"/>
      <c r="V320" s="57"/>
      <c r="W320" s="57"/>
      <c r="X320" s="57"/>
      <c r="Y320" s="98"/>
      <c r="AA320" s="98"/>
      <c r="AR320" s="98"/>
      <c r="AS320" s="57"/>
      <c r="AU320" s="57"/>
      <c r="BF320" s="98"/>
      <c r="BG320" s="98"/>
      <c r="BH320" s="98"/>
      <c r="BI320" s="98"/>
      <c r="BJ320" s="98"/>
      <c r="BK320" s="98"/>
      <c r="BL320" s="98"/>
      <c r="BM320" s="57"/>
    </row>
    <row r="321" spans="1:65" ht="11.25" x14ac:dyDescent="0.2">
      <c r="A321" s="57"/>
      <c r="B321" s="57"/>
      <c r="C321" s="57"/>
      <c r="D321" s="57"/>
      <c r="E321" s="57"/>
      <c r="F321" s="57"/>
      <c r="G321" s="57"/>
      <c r="H321" s="57"/>
      <c r="I321" s="57"/>
      <c r="J321" s="57"/>
      <c r="L321" s="57"/>
      <c r="M321" s="57"/>
      <c r="N321" s="57"/>
      <c r="O321" s="57"/>
      <c r="P321" s="57"/>
      <c r="Q321" s="57"/>
      <c r="R321" s="57"/>
      <c r="S321" s="57"/>
      <c r="T321" s="57"/>
      <c r="U321" s="57"/>
      <c r="V321" s="57"/>
      <c r="W321" s="57"/>
      <c r="X321" s="57"/>
      <c r="Y321" s="98"/>
      <c r="AA321" s="98"/>
      <c r="AR321" s="98"/>
      <c r="AS321" s="57"/>
      <c r="AU321" s="57"/>
      <c r="BF321" s="98"/>
      <c r="BG321" s="98"/>
      <c r="BH321" s="98"/>
      <c r="BI321" s="98"/>
      <c r="BJ321" s="98"/>
      <c r="BK321" s="98"/>
      <c r="BL321" s="98"/>
      <c r="BM321" s="57"/>
    </row>
    <row r="322" spans="1:65" ht="11.25" x14ac:dyDescent="0.2">
      <c r="A322" s="57"/>
      <c r="B322" s="57"/>
      <c r="C322" s="57"/>
      <c r="D322" s="57"/>
      <c r="E322" s="57"/>
      <c r="F322" s="57"/>
      <c r="G322" s="57"/>
      <c r="H322" s="57"/>
      <c r="I322" s="57"/>
      <c r="J322" s="57"/>
      <c r="L322" s="57"/>
      <c r="M322" s="57"/>
      <c r="N322" s="57"/>
      <c r="O322" s="57"/>
      <c r="P322" s="57"/>
      <c r="Q322" s="57"/>
      <c r="R322" s="57"/>
      <c r="S322" s="57"/>
      <c r="T322" s="57"/>
      <c r="U322" s="57"/>
      <c r="V322" s="57"/>
      <c r="W322" s="57"/>
      <c r="X322" s="57"/>
      <c r="Y322" s="98"/>
      <c r="AA322" s="98"/>
      <c r="AR322" s="98"/>
      <c r="AS322" s="57"/>
      <c r="AU322" s="57"/>
      <c r="BF322" s="98"/>
      <c r="BG322" s="98"/>
      <c r="BH322" s="98"/>
      <c r="BI322" s="98"/>
      <c r="BJ322" s="98"/>
      <c r="BK322" s="98"/>
      <c r="BL322" s="98"/>
      <c r="BM322" s="57"/>
    </row>
    <row r="323" spans="1:65" ht="11.25" x14ac:dyDescent="0.2">
      <c r="A323" s="57"/>
      <c r="B323" s="57"/>
      <c r="C323" s="57"/>
      <c r="D323" s="57"/>
      <c r="E323" s="57"/>
      <c r="F323" s="57"/>
      <c r="G323" s="57"/>
      <c r="H323" s="57"/>
      <c r="I323" s="57"/>
      <c r="J323" s="57"/>
      <c r="L323" s="57"/>
      <c r="M323" s="57"/>
      <c r="N323" s="57"/>
      <c r="O323" s="57"/>
      <c r="P323" s="57"/>
      <c r="Q323" s="57"/>
      <c r="R323" s="57"/>
      <c r="S323" s="57"/>
      <c r="T323" s="57"/>
      <c r="U323" s="57"/>
      <c r="V323" s="57"/>
      <c r="W323" s="57"/>
      <c r="X323" s="57"/>
      <c r="Y323" s="98"/>
      <c r="AA323" s="98"/>
      <c r="AR323" s="98"/>
      <c r="AS323" s="57"/>
      <c r="AU323" s="57"/>
      <c r="BF323" s="98"/>
      <c r="BG323" s="98"/>
      <c r="BH323" s="98"/>
      <c r="BI323" s="98"/>
      <c r="BJ323" s="98"/>
      <c r="BK323" s="98"/>
      <c r="BL323" s="98"/>
      <c r="BM323" s="57"/>
    </row>
    <row r="324" spans="1:65" ht="11.25" x14ac:dyDescent="0.2">
      <c r="A324" s="57"/>
      <c r="B324" s="57"/>
      <c r="C324" s="57"/>
      <c r="D324" s="57"/>
      <c r="E324" s="57"/>
      <c r="F324" s="57"/>
      <c r="G324" s="57"/>
      <c r="H324" s="57"/>
      <c r="I324" s="57"/>
      <c r="J324" s="57"/>
      <c r="L324" s="57"/>
      <c r="M324" s="57"/>
      <c r="N324" s="57"/>
      <c r="O324" s="57"/>
      <c r="P324" s="57"/>
      <c r="Q324" s="57"/>
      <c r="R324" s="57"/>
      <c r="S324" s="57"/>
      <c r="T324" s="57"/>
      <c r="U324" s="57"/>
      <c r="V324" s="57"/>
      <c r="W324" s="57"/>
      <c r="X324" s="57"/>
      <c r="Y324" s="98"/>
      <c r="AA324" s="98"/>
      <c r="AR324" s="98"/>
      <c r="AS324" s="57"/>
      <c r="AU324" s="57"/>
      <c r="BF324" s="98"/>
      <c r="BG324" s="98"/>
      <c r="BH324" s="98"/>
      <c r="BI324" s="98"/>
      <c r="BJ324" s="98"/>
      <c r="BK324" s="98"/>
      <c r="BL324" s="98"/>
      <c r="BM324" s="57"/>
    </row>
    <row r="325" spans="1:65" ht="11.25" x14ac:dyDescent="0.2">
      <c r="A325" s="57"/>
      <c r="B325" s="57"/>
      <c r="C325" s="57"/>
      <c r="D325" s="57"/>
      <c r="E325" s="57"/>
      <c r="F325" s="57"/>
      <c r="G325" s="57"/>
      <c r="H325" s="57"/>
      <c r="I325" s="57"/>
      <c r="J325" s="57"/>
      <c r="L325" s="57"/>
      <c r="M325" s="57"/>
      <c r="N325" s="57"/>
      <c r="O325" s="57"/>
      <c r="P325" s="57"/>
      <c r="Q325" s="57"/>
      <c r="R325" s="57"/>
      <c r="S325" s="57"/>
      <c r="T325" s="57"/>
      <c r="U325" s="57"/>
      <c r="V325" s="57"/>
      <c r="W325" s="57"/>
      <c r="X325" s="57"/>
      <c r="Y325" s="98"/>
      <c r="AA325" s="98"/>
      <c r="AR325" s="98"/>
      <c r="AS325" s="57"/>
      <c r="AU325" s="57"/>
      <c r="BF325" s="98"/>
      <c r="BG325" s="98"/>
      <c r="BH325" s="98"/>
      <c r="BI325" s="98"/>
      <c r="BJ325" s="98"/>
      <c r="BK325" s="98"/>
      <c r="BL325" s="98"/>
      <c r="BM325" s="57"/>
    </row>
    <row r="326" spans="1:65" ht="11.25" x14ac:dyDescent="0.2">
      <c r="A326" s="57"/>
      <c r="B326" s="57"/>
      <c r="C326" s="57"/>
      <c r="D326" s="57"/>
      <c r="E326" s="57"/>
      <c r="F326" s="57"/>
      <c r="G326" s="57"/>
      <c r="H326" s="57"/>
      <c r="I326" s="57"/>
      <c r="J326" s="57"/>
      <c r="L326" s="57"/>
      <c r="M326" s="57"/>
      <c r="N326" s="57"/>
      <c r="O326" s="57"/>
      <c r="P326" s="57"/>
      <c r="Q326" s="57"/>
      <c r="R326" s="57"/>
      <c r="S326" s="57"/>
      <c r="T326" s="57"/>
      <c r="U326" s="57"/>
      <c r="V326" s="57"/>
      <c r="W326" s="57"/>
      <c r="X326" s="57"/>
      <c r="Y326" s="98"/>
      <c r="AA326" s="98"/>
      <c r="AR326" s="98"/>
      <c r="AS326" s="57"/>
      <c r="AU326" s="57"/>
      <c r="BF326" s="98"/>
      <c r="BG326" s="98"/>
      <c r="BH326" s="98"/>
      <c r="BI326" s="98"/>
      <c r="BJ326" s="98"/>
      <c r="BK326" s="98"/>
      <c r="BL326" s="98"/>
      <c r="BM326" s="57"/>
    </row>
    <row r="327" spans="1:65" ht="11.25" x14ac:dyDescent="0.2">
      <c r="A327" s="57"/>
      <c r="B327" s="57"/>
      <c r="C327" s="57"/>
      <c r="D327" s="57"/>
      <c r="E327" s="57"/>
      <c r="F327" s="57"/>
      <c r="G327" s="57"/>
      <c r="H327" s="57"/>
      <c r="I327" s="57"/>
      <c r="J327" s="57"/>
      <c r="L327" s="57"/>
      <c r="M327" s="57"/>
      <c r="N327" s="57"/>
      <c r="O327" s="57"/>
      <c r="P327" s="57"/>
      <c r="Q327" s="57"/>
      <c r="R327" s="57"/>
      <c r="S327" s="57"/>
      <c r="T327" s="57"/>
      <c r="U327" s="57"/>
      <c r="V327" s="57"/>
      <c r="W327" s="57"/>
      <c r="X327" s="57"/>
      <c r="Y327" s="98"/>
      <c r="AA327" s="98"/>
      <c r="AR327" s="98"/>
      <c r="AS327" s="57"/>
      <c r="AU327" s="57"/>
      <c r="BF327" s="98"/>
      <c r="BG327" s="98"/>
      <c r="BH327" s="98"/>
      <c r="BI327" s="98"/>
      <c r="BJ327" s="98"/>
      <c r="BK327" s="98"/>
      <c r="BL327" s="98"/>
      <c r="BM327" s="57"/>
    </row>
    <row r="328" spans="1:65" ht="11.25" x14ac:dyDescent="0.2">
      <c r="A328" s="57"/>
      <c r="B328" s="57"/>
      <c r="C328" s="57"/>
      <c r="D328" s="57"/>
      <c r="E328" s="57"/>
      <c r="F328" s="57"/>
      <c r="G328" s="57"/>
      <c r="H328" s="57"/>
      <c r="I328" s="57"/>
      <c r="J328" s="57"/>
      <c r="L328" s="57"/>
      <c r="M328" s="57"/>
      <c r="N328" s="57"/>
      <c r="O328" s="57"/>
      <c r="P328" s="57"/>
      <c r="Q328" s="57"/>
      <c r="R328" s="57"/>
      <c r="S328" s="57"/>
      <c r="T328" s="57"/>
      <c r="U328" s="57"/>
      <c r="V328" s="57"/>
      <c r="W328" s="57"/>
      <c r="X328" s="57"/>
      <c r="Y328" s="98"/>
      <c r="AA328" s="98"/>
      <c r="AR328" s="98"/>
      <c r="AS328" s="57"/>
      <c r="AU328" s="57"/>
      <c r="BF328" s="98"/>
      <c r="BG328" s="98"/>
      <c r="BH328" s="98"/>
      <c r="BI328" s="98"/>
      <c r="BJ328" s="98"/>
      <c r="BK328" s="98"/>
      <c r="BL328" s="98"/>
      <c r="BM328" s="57"/>
    </row>
    <row r="329" spans="1:65" ht="11.25" x14ac:dyDescent="0.2">
      <c r="A329" s="57"/>
      <c r="B329" s="57"/>
      <c r="C329" s="57"/>
      <c r="D329" s="57"/>
      <c r="E329" s="57"/>
      <c r="F329" s="57"/>
      <c r="G329" s="57"/>
      <c r="H329" s="57"/>
      <c r="I329" s="57"/>
      <c r="J329" s="57"/>
      <c r="L329" s="57"/>
      <c r="M329" s="57"/>
      <c r="N329" s="57"/>
      <c r="O329" s="57"/>
      <c r="P329" s="57"/>
      <c r="Q329" s="57"/>
      <c r="R329" s="57"/>
      <c r="S329" s="57"/>
      <c r="T329" s="57"/>
      <c r="U329" s="57"/>
      <c r="V329" s="57"/>
      <c r="W329" s="57"/>
      <c r="X329" s="57"/>
      <c r="Y329" s="98"/>
      <c r="AA329" s="98"/>
      <c r="AR329" s="98"/>
      <c r="AS329" s="57"/>
      <c r="AU329" s="57"/>
      <c r="BF329" s="98"/>
      <c r="BG329" s="98"/>
      <c r="BH329" s="98"/>
      <c r="BI329" s="98"/>
      <c r="BJ329" s="98"/>
      <c r="BK329" s="98"/>
      <c r="BL329" s="98"/>
      <c r="BM329" s="57"/>
    </row>
    <row r="330" spans="1:65" ht="11.25" x14ac:dyDescent="0.2">
      <c r="A330" s="57"/>
      <c r="B330" s="57"/>
      <c r="C330" s="57"/>
      <c r="D330" s="57"/>
      <c r="E330" s="57"/>
      <c r="F330" s="57"/>
      <c r="G330" s="57"/>
      <c r="H330" s="57"/>
      <c r="I330" s="57"/>
      <c r="J330" s="57"/>
      <c r="L330" s="57"/>
      <c r="M330" s="57"/>
      <c r="N330" s="57"/>
      <c r="O330" s="57"/>
      <c r="P330" s="57"/>
      <c r="Q330" s="57"/>
      <c r="R330" s="57"/>
      <c r="S330" s="57"/>
      <c r="T330" s="57"/>
      <c r="U330" s="57"/>
      <c r="V330" s="57"/>
      <c r="W330" s="57"/>
      <c r="X330" s="57"/>
      <c r="Y330" s="98"/>
      <c r="AA330" s="98"/>
      <c r="AR330" s="98"/>
      <c r="AS330" s="57"/>
      <c r="AU330" s="57"/>
      <c r="BF330" s="98"/>
      <c r="BG330" s="98"/>
      <c r="BH330" s="98"/>
      <c r="BI330" s="98"/>
      <c r="BJ330" s="98"/>
      <c r="BK330" s="98"/>
      <c r="BL330" s="98"/>
      <c r="BM330" s="57"/>
    </row>
    <row r="331" spans="1:65" ht="11.25" x14ac:dyDescent="0.2">
      <c r="A331" s="57"/>
      <c r="B331" s="57"/>
      <c r="C331" s="57"/>
      <c r="D331" s="57"/>
      <c r="E331" s="57"/>
      <c r="F331" s="57"/>
      <c r="G331" s="57"/>
      <c r="H331" s="57"/>
      <c r="I331" s="57"/>
      <c r="J331" s="57"/>
      <c r="L331" s="57"/>
      <c r="M331" s="57"/>
      <c r="N331" s="57"/>
      <c r="O331" s="57"/>
      <c r="P331" s="57"/>
      <c r="Q331" s="57"/>
      <c r="R331" s="57"/>
      <c r="S331" s="57"/>
      <c r="T331" s="57"/>
      <c r="U331" s="57"/>
      <c r="V331" s="57"/>
      <c r="W331" s="57"/>
      <c r="X331" s="57"/>
      <c r="Y331" s="98"/>
      <c r="AA331" s="98"/>
      <c r="AR331" s="98"/>
      <c r="AS331" s="57"/>
      <c r="AU331" s="57"/>
      <c r="BF331" s="98"/>
      <c r="BG331" s="98"/>
      <c r="BH331" s="98"/>
      <c r="BI331" s="98"/>
      <c r="BJ331" s="98"/>
      <c r="BK331" s="98"/>
      <c r="BL331" s="98"/>
      <c r="BM331" s="57"/>
    </row>
    <row r="332" spans="1:65" ht="11.25" x14ac:dyDescent="0.2">
      <c r="A332" s="57"/>
      <c r="B332" s="57"/>
      <c r="C332" s="57"/>
      <c r="D332" s="57"/>
      <c r="E332" s="57"/>
      <c r="F332" s="57"/>
      <c r="G332" s="57"/>
      <c r="H332" s="57"/>
      <c r="I332" s="57"/>
      <c r="J332" s="57"/>
      <c r="L332" s="57"/>
      <c r="M332" s="57"/>
      <c r="N332" s="57"/>
      <c r="O332" s="57"/>
      <c r="P332" s="57"/>
      <c r="Q332" s="57"/>
      <c r="R332" s="57"/>
      <c r="S332" s="57"/>
      <c r="T332" s="57"/>
      <c r="U332" s="57"/>
      <c r="V332" s="57"/>
      <c r="W332" s="57"/>
      <c r="X332" s="57"/>
      <c r="Y332" s="98"/>
      <c r="AA332" s="98"/>
      <c r="AR332" s="98"/>
      <c r="AS332" s="57"/>
      <c r="AU332" s="57"/>
      <c r="BF332" s="98"/>
      <c r="BG332" s="98"/>
      <c r="BH332" s="98"/>
      <c r="BI332" s="98"/>
      <c r="BJ332" s="98"/>
      <c r="BK332" s="98"/>
      <c r="BL332" s="98"/>
      <c r="BM332" s="57"/>
    </row>
    <row r="333" spans="1:65" ht="11.25" x14ac:dyDescent="0.2">
      <c r="A333" s="57"/>
      <c r="B333" s="57"/>
      <c r="C333" s="57"/>
      <c r="D333" s="57"/>
      <c r="E333" s="57"/>
      <c r="F333" s="57"/>
      <c r="G333" s="57"/>
      <c r="H333" s="57"/>
      <c r="I333" s="57"/>
      <c r="J333" s="57"/>
      <c r="L333" s="57"/>
      <c r="M333" s="57"/>
      <c r="N333" s="57"/>
      <c r="O333" s="57"/>
      <c r="P333" s="57"/>
      <c r="Q333" s="57"/>
      <c r="R333" s="57"/>
      <c r="S333" s="57"/>
      <c r="T333" s="57"/>
      <c r="U333" s="57"/>
      <c r="V333" s="57"/>
      <c r="W333" s="57"/>
      <c r="X333" s="57"/>
      <c r="Y333" s="98"/>
      <c r="AA333" s="98"/>
      <c r="AR333" s="98"/>
      <c r="AS333" s="57"/>
      <c r="AU333" s="57"/>
      <c r="BF333" s="98"/>
      <c r="BG333" s="98"/>
      <c r="BH333" s="98"/>
      <c r="BI333" s="98"/>
      <c r="BJ333" s="98"/>
      <c r="BK333" s="98"/>
      <c r="BL333" s="98"/>
      <c r="BM333" s="57"/>
    </row>
    <row r="334" spans="1:65" ht="11.25" x14ac:dyDescent="0.2">
      <c r="A334" s="57"/>
      <c r="B334" s="57"/>
      <c r="C334" s="57"/>
      <c r="D334" s="57"/>
      <c r="E334" s="57"/>
      <c r="F334" s="57"/>
      <c r="G334" s="57"/>
      <c r="H334" s="57"/>
      <c r="I334" s="57"/>
      <c r="J334" s="57"/>
      <c r="L334" s="57"/>
      <c r="M334" s="57"/>
      <c r="N334" s="57"/>
      <c r="O334" s="57"/>
      <c r="P334" s="57"/>
      <c r="Q334" s="57"/>
      <c r="R334" s="57"/>
      <c r="S334" s="57"/>
      <c r="T334" s="57"/>
      <c r="U334" s="57"/>
      <c r="V334" s="57"/>
      <c r="W334" s="57"/>
      <c r="X334" s="57"/>
      <c r="Y334" s="98"/>
      <c r="AA334" s="98"/>
      <c r="AR334" s="98"/>
      <c r="AS334" s="57"/>
      <c r="AU334" s="57"/>
      <c r="BF334" s="98"/>
      <c r="BG334" s="98"/>
      <c r="BH334" s="98"/>
      <c r="BI334" s="98"/>
      <c r="BJ334" s="98"/>
      <c r="BK334" s="98"/>
      <c r="BL334" s="98"/>
      <c r="BM334" s="57"/>
    </row>
    <row r="335" spans="1:65" ht="11.25" x14ac:dyDescent="0.2">
      <c r="A335" s="57"/>
      <c r="B335" s="57"/>
      <c r="C335" s="57"/>
      <c r="D335" s="57"/>
      <c r="E335" s="57"/>
      <c r="F335" s="57"/>
      <c r="G335" s="57"/>
      <c r="H335" s="57"/>
      <c r="I335" s="57"/>
      <c r="J335" s="57"/>
      <c r="L335" s="57"/>
      <c r="M335" s="57"/>
      <c r="N335" s="57"/>
      <c r="O335" s="57"/>
      <c r="P335" s="57"/>
      <c r="Q335" s="57"/>
      <c r="R335" s="57"/>
      <c r="S335" s="57"/>
      <c r="T335" s="57"/>
      <c r="U335" s="57"/>
      <c r="V335" s="57"/>
      <c r="W335" s="57"/>
      <c r="X335" s="57"/>
      <c r="Y335" s="98"/>
      <c r="AA335" s="98"/>
      <c r="AR335" s="98"/>
      <c r="AS335" s="57"/>
      <c r="AU335" s="57"/>
      <c r="BF335" s="98"/>
      <c r="BG335" s="98"/>
      <c r="BH335" s="98"/>
      <c r="BI335" s="98"/>
      <c r="BJ335" s="98"/>
      <c r="BK335" s="98"/>
      <c r="BL335" s="98"/>
      <c r="BM335" s="57"/>
    </row>
    <row r="336" spans="1:65" ht="11.25" x14ac:dyDescent="0.2">
      <c r="A336" s="57"/>
      <c r="B336" s="57"/>
      <c r="C336" s="57"/>
      <c r="D336" s="57"/>
      <c r="E336" s="57"/>
      <c r="F336" s="57"/>
      <c r="G336" s="57"/>
      <c r="H336" s="57"/>
      <c r="I336" s="57"/>
      <c r="J336" s="57"/>
      <c r="L336" s="57"/>
      <c r="M336" s="57"/>
      <c r="N336" s="57"/>
      <c r="O336" s="57"/>
      <c r="P336" s="57"/>
      <c r="Q336" s="57"/>
      <c r="R336" s="57"/>
      <c r="S336" s="57"/>
      <c r="T336" s="57"/>
      <c r="U336" s="57"/>
      <c r="V336" s="57"/>
      <c r="W336" s="57"/>
      <c r="X336" s="57"/>
      <c r="Y336" s="98"/>
      <c r="AA336" s="98"/>
      <c r="AR336" s="98"/>
      <c r="AS336" s="57"/>
      <c r="AU336" s="57"/>
      <c r="BF336" s="98"/>
      <c r="BG336" s="98"/>
      <c r="BH336" s="98"/>
      <c r="BI336" s="98"/>
      <c r="BJ336" s="98"/>
      <c r="BK336" s="98"/>
      <c r="BL336" s="98"/>
      <c r="BM336" s="57"/>
    </row>
    <row r="337" spans="1:65" ht="11.25" x14ac:dyDescent="0.2">
      <c r="A337" s="57"/>
      <c r="B337" s="57"/>
      <c r="C337" s="57"/>
      <c r="D337" s="57"/>
      <c r="E337" s="57"/>
      <c r="F337" s="57"/>
      <c r="G337" s="57"/>
      <c r="H337" s="57"/>
      <c r="I337" s="57"/>
      <c r="J337" s="57"/>
      <c r="L337" s="57"/>
      <c r="M337" s="57"/>
      <c r="N337" s="57"/>
      <c r="O337" s="57"/>
      <c r="P337" s="57"/>
      <c r="Q337" s="57"/>
      <c r="R337" s="57"/>
      <c r="S337" s="57"/>
      <c r="T337" s="57"/>
      <c r="U337" s="57"/>
      <c r="V337" s="57"/>
      <c r="W337" s="57"/>
      <c r="X337" s="57"/>
      <c r="Y337" s="98"/>
      <c r="AA337" s="98"/>
      <c r="AR337" s="98"/>
      <c r="AS337" s="57"/>
      <c r="AU337" s="57"/>
      <c r="BF337" s="98"/>
      <c r="BG337" s="98"/>
      <c r="BH337" s="98"/>
      <c r="BI337" s="98"/>
      <c r="BJ337" s="98"/>
      <c r="BK337" s="98"/>
      <c r="BL337" s="98"/>
      <c r="BM337" s="57"/>
    </row>
    <row r="338" spans="1:65" ht="11.25" x14ac:dyDescent="0.2">
      <c r="A338" s="57"/>
      <c r="B338" s="57"/>
      <c r="C338" s="57"/>
      <c r="D338" s="57"/>
      <c r="E338" s="57"/>
      <c r="F338" s="57"/>
      <c r="G338" s="57"/>
      <c r="H338" s="57"/>
      <c r="I338" s="57"/>
      <c r="J338" s="57"/>
      <c r="L338" s="57"/>
      <c r="M338" s="57"/>
      <c r="N338" s="57"/>
      <c r="O338" s="57"/>
      <c r="P338" s="57"/>
      <c r="Q338" s="57"/>
      <c r="R338" s="57"/>
      <c r="S338" s="57"/>
      <c r="T338" s="57"/>
      <c r="U338" s="57"/>
      <c r="V338" s="57"/>
      <c r="W338" s="57"/>
      <c r="X338" s="57"/>
      <c r="Y338" s="98"/>
      <c r="AA338" s="98"/>
      <c r="AR338" s="98"/>
      <c r="AS338" s="57"/>
      <c r="AU338" s="57"/>
      <c r="BF338" s="98"/>
      <c r="BG338" s="98"/>
      <c r="BH338" s="98"/>
      <c r="BI338" s="98"/>
      <c r="BJ338" s="98"/>
      <c r="BK338" s="98"/>
      <c r="BL338" s="98"/>
      <c r="BM338" s="57"/>
    </row>
    <row r="339" spans="1:65" ht="11.25" x14ac:dyDescent="0.2">
      <c r="A339" s="57"/>
      <c r="B339" s="57"/>
      <c r="C339" s="57"/>
      <c r="D339" s="57"/>
      <c r="E339" s="57"/>
      <c r="F339" s="57"/>
      <c r="G339" s="57"/>
      <c r="H339" s="57"/>
      <c r="I339" s="57"/>
      <c r="J339" s="57"/>
      <c r="L339" s="57"/>
      <c r="M339" s="57"/>
      <c r="N339" s="57"/>
      <c r="O339" s="57"/>
      <c r="P339" s="57"/>
      <c r="Q339" s="57"/>
      <c r="R339" s="57"/>
      <c r="S339" s="57"/>
      <c r="T339" s="57"/>
      <c r="U339" s="57"/>
      <c r="V339" s="57"/>
      <c r="W339" s="57"/>
      <c r="X339" s="57"/>
      <c r="Y339" s="98"/>
      <c r="AA339" s="98"/>
      <c r="AR339" s="98"/>
      <c r="AS339" s="57"/>
      <c r="AU339" s="57"/>
      <c r="BF339" s="98"/>
      <c r="BG339" s="98"/>
      <c r="BH339" s="98"/>
      <c r="BI339" s="98"/>
      <c r="BJ339" s="98"/>
      <c r="BK339" s="98"/>
      <c r="BL339" s="98"/>
      <c r="BM339" s="57"/>
    </row>
    <row r="340" spans="1:65" ht="11.25" x14ac:dyDescent="0.2">
      <c r="A340" s="57"/>
      <c r="B340" s="57"/>
      <c r="C340" s="57"/>
      <c r="D340" s="57"/>
      <c r="E340" s="57"/>
      <c r="F340" s="57"/>
      <c r="G340" s="57"/>
      <c r="H340" s="57"/>
      <c r="I340" s="57"/>
      <c r="J340" s="57"/>
      <c r="L340" s="57"/>
      <c r="M340" s="57"/>
      <c r="N340" s="57"/>
      <c r="O340" s="57"/>
      <c r="P340" s="57"/>
      <c r="Q340" s="57"/>
      <c r="R340" s="57"/>
      <c r="S340" s="57"/>
      <c r="T340" s="57"/>
      <c r="U340" s="57"/>
      <c r="V340" s="57"/>
      <c r="W340" s="57"/>
      <c r="X340" s="57"/>
      <c r="Y340" s="98"/>
      <c r="AA340" s="98"/>
      <c r="AR340" s="98"/>
      <c r="AS340" s="57"/>
      <c r="AU340" s="57"/>
      <c r="BF340" s="98"/>
      <c r="BG340" s="98"/>
      <c r="BH340" s="98"/>
      <c r="BI340" s="98"/>
      <c r="BJ340" s="98"/>
      <c r="BK340" s="98"/>
      <c r="BL340" s="98"/>
      <c r="BM340" s="57"/>
    </row>
    <row r="341" spans="1:65" ht="11.25" x14ac:dyDescent="0.2">
      <c r="A341" s="57"/>
      <c r="B341" s="57"/>
      <c r="C341" s="57"/>
      <c r="D341" s="57"/>
      <c r="E341" s="57"/>
      <c r="F341" s="57"/>
      <c r="G341" s="57"/>
      <c r="H341" s="57"/>
      <c r="I341" s="57"/>
      <c r="J341" s="57"/>
      <c r="L341" s="57"/>
      <c r="M341" s="57"/>
      <c r="N341" s="57"/>
      <c r="O341" s="57"/>
      <c r="P341" s="57"/>
      <c r="Q341" s="57"/>
      <c r="R341" s="57"/>
      <c r="S341" s="57"/>
      <c r="T341" s="57"/>
      <c r="U341" s="57"/>
      <c r="V341" s="57"/>
      <c r="W341" s="57"/>
      <c r="X341" s="57"/>
      <c r="Y341" s="98"/>
      <c r="AA341" s="98"/>
      <c r="AR341" s="98"/>
      <c r="AS341" s="57"/>
      <c r="AU341" s="57"/>
      <c r="BF341" s="98"/>
      <c r="BG341" s="98"/>
      <c r="BH341" s="98"/>
      <c r="BI341" s="98"/>
      <c r="BJ341" s="98"/>
      <c r="BK341" s="98"/>
      <c r="BL341" s="98"/>
      <c r="BM341" s="57"/>
    </row>
    <row r="342" spans="1:65" ht="11.25" x14ac:dyDescent="0.2">
      <c r="A342" s="57"/>
      <c r="B342" s="57"/>
      <c r="C342" s="57"/>
      <c r="D342" s="57"/>
      <c r="E342" s="57"/>
      <c r="F342" s="57"/>
      <c r="G342" s="57"/>
      <c r="H342" s="57"/>
      <c r="I342" s="57"/>
      <c r="J342" s="57"/>
      <c r="L342" s="57"/>
      <c r="M342" s="57"/>
      <c r="N342" s="57"/>
      <c r="O342" s="57"/>
      <c r="P342" s="57"/>
      <c r="Q342" s="57"/>
      <c r="R342" s="57"/>
      <c r="S342" s="57"/>
      <c r="T342" s="57"/>
      <c r="U342" s="57"/>
      <c r="V342" s="57"/>
      <c r="W342" s="57"/>
      <c r="X342" s="57"/>
      <c r="Y342" s="98"/>
      <c r="AA342" s="98"/>
      <c r="AR342" s="98"/>
      <c r="AS342" s="57"/>
      <c r="AU342" s="57"/>
      <c r="BF342" s="98"/>
      <c r="BG342" s="98"/>
      <c r="BH342" s="98"/>
      <c r="BI342" s="98"/>
      <c r="BJ342" s="98"/>
      <c r="BK342" s="98"/>
      <c r="BL342" s="98"/>
      <c r="BM342" s="57"/>
    </row>
    <row r="343" spans="1:65" ht="11.25" x14ac:dyDescent="0.2">
      <c r="A343" s="57"/>
      <c r="B343" s="57"/>
      <c r="C343" s="57"/>
      <c r="D343" s="57"/>
      <c r="E343" s="57"/>
      <c r="F343" s="57"/>
      <c r="G343" s="57"/>
      <c r="H343" s="57"/>
      <c r="I343" s="57"/>
      <c r="J343" s="57"/>
      <c r="L343" s="57"/>
      <c r="M343" s="57"/>
      <c r="N343" s="57"/>
      <c r="O343" s="57"/>
      <c r="P343" s="57"/>
      <c r="Q343" s="57"/>
      <c r="R343" s="57"/>
      <c r="S343" s="57"/>
      <c r="T343" s="57"/>
      <c r="U343" s="57"/>
      <c r="V343" s="57"/>
      <c r="W343" s="57"/>
      <c r="X343" s="57"/>
      <c r="Y343" s="98"/>
      <c r="AA343" s="98"/>
      <c r="AR343" s="98"/>
      <c r="AS343" s="57"/>
      <c r="AU343" s="57"/>
      <c r="BF343" s="98"/>
      <c r="BG343" s="98"/>
      <c r="BH343" s="98"/>
      <c r="BI343" s="98"/>
      <c r="BJ343" s="98"/>
      <c r="BK343" s="98"/>
      <c r="BL343" s="98"/>
      <c r="BM343" s="57"/>
    </row>
    <row r="344" spans="1:65" ht="11.25" x14ac:dyDescent="0.2">
      <c r="A344" s="57"/>
      <c r="B344" s="57"/>
      <c r="C344" s="57"/>
      <c r="D344" s="57"/>
      <c r="E344" s="57"/>
      <c r="F344" s="57"/>
      <c r="G344" s="57"/>
      <c r="H344" s="57"/>
      <c r="I344" s="57"/>
      <c r="J344" s="57"/>
      <c r="L344" s="57"/>
      <c r="M344" s="57"/>
      <c r="N344" s="57"/>
      <c r="O344" s="57"/>
      <c r="P344" s="57"/>
      <c r="Q344" s="57"/>
      <c r="R344" s="57"/>
      <c r="S344" s="57"/>
      <c r="T344" s="57"/>
      <c r="U344" s="57"/>
      <c r="V344" s="57"/>
      <c r="W344" s="57"/>
      <c r="X344" s="57"/>
      <c r="Y344" s="98"/>
      <c r="AA344" s="98"/>
      <c r="AR344" s="98"/>
      <c r="AS344" s="57"/>
      <c r="AU344" s="57"/>
      <c r="BF344" s="98"/>
      <c r="BG344" s="98"/>
      <c r="BH344" s="98"/>
      <c r="BI344" s="98"/>
      <c r="BJ344" s="98"/>
      <c r="BK344" s="98"/>
      <c r="BL344" s="98"/>
      <c r="BM344" s="57"/>
    </row>
    <row r="345" spans="1:65" ht="11.25" x14ac:dyDescent="0.2">
      <c r="A345" s="57"/>
      <c r="B345" s="57"/>
      <c r="C345" s="57"/>
      <c r="D345" s="57"/>
      <c r="E345" s="57"/>
      <c r="F345" s="57"/>
      <c r="G345" s="57"/>
      <c r="H345" s="57"/>
      <c r="I345" s="57"/>
      <c r="J345" s="57"/>
      <c r="L345" s="57"/>
      <c r="M345" s="57"/>
      <c r="N345" s="57"/>
      <c r="O345" s="57"/>
      <c r="P345" s="57"/>
      <c r="Q345" s="57"/>
      <c r="R345" s="57"/>
      <c r="S345" s="57"/>
      <c r="T345" s="57"/>
      <c r="U345" s="57"/>
      <c r="V345" s="57"/>
      <c r="W345" s="57"/>
      <c r="X345" s="57"/>
      <c r="Y345" s="98"/>
      <c r="AA345" s="98"/>
      <c r="AR345" s="98"/>
      <c r="AS345" s="57"/>
      <c r="AU345" s="57"/>
      <c r="BF345" s="98"/>
      <c r="BG345" s="98"/>
      <c r="BH345" s="98"/>
      <c r="BI345" s="98"/>
      <c r="BJ345" s="98"/>
      <c r="BK345" s="98"/>
      <c r="BL345" s="98"/>
      <c r="BM345" s="57"/>
    </row>
    <row r="346" spans="1:65" ht="11.25" x14ac:dyDescent="0.2">
      <c r="A346" s="57"/>
      <c r="B346" s="57"/>
      <c r="C346" s="57"/>
      <c r="D346" s="57"/>
      <c r="E346" s="57"/>
      <c r="F346" s="57"/>
      <c r="G346" s="57"/>
      <c r="H346" s="57"/>
      <c r="I346" s="57"/>
      <c r="J346" s="57"/>
      <c r="L346" s="57"/>
      <c r="M346" s="57"/>
      <c r="N346" s="57"/>
      <c r="O346" s="57"/>
      <c r="P346" s="57"/>
      <c r="Q346" s="57"/>
      <c r="R346" s="57"/>
      <c r="S346" s="57"/>
      <c r="T346" s="57"/>
      <c r="U346" s="57"/>
      <c r="V346" s="57"/>
      <c r="W346" s="57"/>
      <c r="X346" s="57"/>
      <c r="Y346" s="98"/>
      <c r="AA346" s="98"/>
      <c r="AR346" s="98"/>
      <c r="AS346" s="57"/>
      <c r="AU346" s="57"/>
      <c r="BF346" s="98"/>
      <c r="BG346" s="98"/>
      <c r="BH346" s="98"/>
      <c r="BI346" s="98"/>
      <c r="BJ346" s="98"/>
      <c r="BK346" s="98"/>
      <c r="BL346" s="98"/>
      <c r="BM346" s="57"/>
    </row>
    <row r="347" spans="1:65" ht="11.25" x14ac:dyDescent="0.2">
      <c r="A347" s="57"/>
      <c r="B347" s="57"/>
      <c r="C347" s="57"/>
      <c r="D347" s="57"/>
      <c r="E347" s="57"/>
      <c r="F347" s="57"/>
      <c r="G347" s="57"/>
      <c r="H347" s="57"/>
      <c r="I347" s="57"/>
      <c r="J347" s="57"/>
      <c r="L347" s="57"/>
      <c r="M347" s="57"/>
      <c r="N347" s="57"/>
      <c r="O347" s="57"/>
      <c r="P347" s="57"/>
      <c r="Q347" s="57"/>
      <c r="R347" s="57"/>
      <c r="S347" s="57"/>
      <c r="T347" s="57"/>
      <c r="U347" s="57"/>
      <c r="V347" s="57"/>
      <c r="W347" s="57"/>
      <c r="X347" s="57"/>
      <c r="Y347" s="98"/>
      <c r="AA347" s="98"/>
      <c r="AR347" s="98"/>
      <c r="AS347" s="57"/>
      <c r="AU347" s="57"/>
      <c r="BF347" s="98"/>
      <c r="BG347" s="98"/>
      <c r="BH347" s="98"/>
      <c r="BI347" s="98"/>
      <c r="BJ347" s="98"/>
      <c r="BK347" s="98"/>
      <c r="BL347" s="98"/>
      <c r="BM347" s="57"/>
    </row>
    <row r="348" spans="1:65" ht="11.25" x14ac:dyDescent="0.2">
      <c r="A348" s="57"/>
      <c r="B348" s="57"/>
      <c r="C348" s="57"/>
      <c r="D348" s="57"/>
      <c r="E348" s="57"/>
      <c r="F348" s="57"/>
      <c r="G348" s="57"/>
      <c r="H348" s="57"/>
      <c r="I348" s="57"/>
      <c r="J348" s="57"/>
      <c r="L348" s="57"/>
      <c r="M348" s="57"/>
      <c r="N348" s="57"/>
      <c r="O348" s="57"/>
      <c r="P348" s="57"/>
      <c r="Q348" s="57"/>
      <c r="R348" s="57"/>
      <c r="S348" s="57"/>
      <c r="T348" s="57"/>
      <c r="U348" s="57"/>
      <c r="V348" s="57"/>
      <c r="W348" s="57"/>
      <c r="X348" s="57"/>
      <c r="Y348" s="98"/>
      <c r="AA348" s="98"/>
      <c r="AR348" s="98"/>
      <c r="AS348" s="57"/>
      <c r="AU348" s="57"/>
      <c r="BF348" s="98"/>
      <c r="BG348" s="98"/>
      <c r="BH348" s="98"/>
      <c r="BI348" s="98"/>
      <c r="BJ348" s="98"/>
      <c r="BK348" s="98"/>
      <c r="BL348" s="98"/>
      <c r="BM348" s="57"/>
    </row>
    <row r="349" spans="1:65" ht="11.25" x14ac:dyDescent="0.2">
      <c r="A349" s="57"/>
      <c r="B349" s="57"/>
      <c r="C349" s="57"/>
      <c r="D349" s="57"/>
      <c r="E349" s="57"/>
      <c r="F349" s="57"/>
      <c r="G349" s="57"/>
      <c r="H349" s="57"/>
      <c r="I349" s="57"/>
      <c r="J349" s="57"/>
      <c r="L349" s="57"/>
      <c r="M349" s="57"/>
      <c r="N349" s="57"/>
      <c r="O349" s="57"/>
      <c r="P349" s="57"/>
      <c r="Q349" s="57"/>
      <c r="R349" s="57"/>
      <c r="S349" s="57"/>
      <c r="T349" s="57"/>
      <c r="U349" s="57"/>
      <c r="V349" s="57"/>
      <c r="W349" s="57"/>
      <c r="X349" s="57"/>
      <c r="Y349" s="98"/>
      <c r="AA349" s="98"/>
      <c r="AR349" s="98"/>
      <c r="AS349" s="57"/>
      <c r="AU349" s="57"/>
      <c r="BF349" s="98"/>
      <c r="BG349" s="98"/>
      <c r="BH349" s="98"/>
      <c r="BI349" s="98"/>
      <c r="BJ349" s="98"/>
      <c r="BK349" s="98"/>
      <c r="BL349" s="98"/>
      <c r="BM349" s="57"/>
    </row>
    <row r="350" spans="1:65" ht="11.25" x14ac:dyDescent="0.2">
      <c r="A350" s="57"/>
      <c r="B350" s="57"/>
      <c r="C350" s="57"/>
      <c r="D350" s="57"/>
      <c r="E350" s="57"/>
      <c r="F350" s="57"/>
      <c r="G350" s="57"/>
      <c r="H350" s="57"/>
      <c r="I350" s="57"/>
      <c r="J350" s="57"/>
      <c r="L350" s="57"/>
      <c r="M350" s="57"/>
      <c r="N350" s="57"/>
      <c r="O350" s="57"/>
      <c r="P350" s="57"/>
      <c r="Q350" s="57"/>
      <c r="R350" s="57"/>
      <c r="S350" s="57"/>
      <c r="T350" s="57"/>
      <c r="U350" s="57"/>
      <c r="V350" s="57"/>
      <c r="W350" s="57"/>
      <c r="X350" s="57"/>
      <c r="Y350" s="98"/>
      <c r="AA350" s="98"/>
      <c r="AR350" s="98"/>
      <c r="AS350" s="57"/>
      <c r="AU350" s="57"/>
      <c r="BF350" s="98"/>
      <c r="BG350" s="98"/>
      <c r="BH350" s="98"/>
      <c r="BI350" s="98"/>
      <c r="BJ350" s="98"/>
      <c r="BK350" s="98"/>
      <c r="BL350" s="98"/>
      <c r="BM350" s="57"/>
    </row>
    <row r="351" spans="1:65" ht="11.25" x14ac:dyDescent="0.2">
      <c r="A351" s="57"/>
      <c r="B351" s="57"/>
      <c r="C351" s="57"/>
      <c r="D351" s="57"/>
      <c r="E351" s="57"/>
      <c r="F351" s="57"/>
      <c r="G351" s="57"/>
      <c r="H351" s="57"/>
      <c r="I351" s="57"/>
      <c r="J351" s="57"/>
      <c r="L351" s="57"/>
      <c r="M351" s="57"/>
      <c r="N351" s="57"/>
      <c r="O351" s="57"/>
      <c r="P351" s="57"/>
      <c r="Q351" s="57"/>
      <c r="R351" s="57"/>
      <c r="S351" s="57"/>
      <c r="T351" s="57"/>
      <c r="U351" s="57"/>
      <c r="V351" s="57"/>
      <c r="W351" s="57"/>
      <c r="X351" s="57"/>
      <c r="Y351" s="98"/>
      <c r="AA351" s="98"/>
      <c r="AR351" s="98"/>
      <c r="AS351" s="57"/>
      <c r="AU351" s="57"/>
      <c r="BF351" s="98"/>
      <c r="BG351" s="98"/>
      <c r="BH351" s="98"/>
      <c r="BI351" s="98"/>
      <c r="BJ351" s="98"/>
      <c r="BK351" s="98"/>
      <c r="BL351" s="98"/>
      <c r="BM351" s="57"/>
    </row>
    <row r="352" spans="1:65" ht="11.25" x14ac:dyDescent="0.2">
      <c r="A352" s="57"/>
      <c r="B352" s="57"/>
      <c r="C352" s="57"/>
      <c r="D352" s="57"/>
      <c r="E352" s="57"/>
      <c r="F352" s="57"/>
      <c r="G352" s="57"/>
      <c r="H352" s="57"/>
      <c r="I352" s="57"/>
      <c r="J352" s="57"/>
      <c r="L352" s="57"/>
      <c r="M352" s="57"/>
      <c r="N352" s="57"/>
      <c r="O352" s="57"/>
      <c r="P352" s="57"/>
      <c r="Q352" s="57"/>
      <c r="R352" s="57"/>
      <c r="S352" s="57"/>
      <c r="T352" s="57"/>
      <c r="U352" s="57"/>
      <c r="V352" s="57"/>
      <c r="W352" s="57"/>
      <c r="X352" s="57"/>
      <c r="Y352" s="98"/>
      <c r="AA352" s="98"/>
      <c r="AR352" s="98"/>
      <c r="AS352" s="57"/>
      <c r="AU352" s="57"/>
      <c r="BF352" s="98"/>
      <c r="BG352" s="98"/>
      <c r="BH352" s="98"/>
      <c r="BI352" s="98"/>
      <c r="BJ352" s="98"/>
      <c r="BK352" s="98"/>
      <c r="BL352" s="98"/>
      <c r="BM352" s="57"/>
    </row>
    <row r="353" spans="1:65" ht="11.25" x14ac:dyDescent="0.2">
      <c r="A353" s="57"/>
      <c r="B353" s="57"/>
      <c r="C353" s="57"/>
      <c r="D353" s="57"/>
      <c r="E353" s="57"/>
      <c r="F353" s="57"/>
      <c r="G353" s="57"/>
      <c r="H353" s="57"/>
      <c r="I353" s="57"/>
      <c r="J353" s="57"/>
      <c r="L353" s="57"/>
      <c r="M353" s="57"/>
      <c r="N353" s="57"/>
      <c r="O353" s="57"/>
      <c r="P353" s="57"/>
      <c r="Q353" s="57"/>
      <c r="R353" s="57"/>
      <c r="S353" s="57"/>
      <c r="T353" s="57"/>
      <c r="U353" s="57"/>
      <c r="V353" s="57"/>
      <c r="W353" s="57"/>
      <c r="X353" s="57"/>
      <c r="Y353" s="98"/>
      <c r="AA353" s="98"/>
      <c r="AR353" s="98"/>
      <c r="AS353" s="57"/>
      <c r="AU353" s="57"/>
      <c r="BF353" s="98"/>
      <c r="BG353" s="98"/>
      <c r="BH353" s="98"/>
      <c r="BI353" s="98"/>
      <c r="BJ353" s="98"/>
      <c r="BK353" s="98"/>
      <c r="BL353" s="98"/>
      <c r="BM353" s="57"/>
    </row>
    <row r="354" spans="1:65" ht="11.25" x14ac:dyDescent="0.2">
      <c r="A354" s="57"/>
      <c r="B354" s="57"/>
      <c r="C354" s="57"/>
      <c r="D354" s="57"/>
      <c r="E354" s="57"/>
      <c r="F354" s="57"/>
      <c r="G354" s="57"/>
      <c r="H354" s="57"/>
      <c r="I354" s="57"/>
      <c r="J354" s="57"/>
      <c r="L354" s="57"/>
      <c r="M354" s="57"/>
      <c r="N354" s="57"/>
      <c r="O354" s="57"/>
      <c r="P354" s="57"/>
      <c r="Q354" s="57"/>
      <c r="R354" s="57"/>
      <c r="S354" s="57"/>
      <c r="T354" s="57"/>
      <c r="U354" s="57"/>
      <c r="V354" s="57"/>
      <c r="W354" s="57"/>
      <c r="X354" s="57"/>
      <c r="Y354" s="98"/>
      <c r="AA354" s="98"/>
      <c r="AR354" s="98"/>
      <c r="AS354" s="57"/>
      <c r="AU354" s="57"/>
      <c r="BF354" s="98"/>
      <c r="BG354" s="98"/>
      <c r="BH354" s="98"/>
      <c r="BI354" s="98"/>
      <c r="BJ354" s="98"/>
      <c r="BK354" s="98"/>
      <c r="BL354" s="98"/>
      <c r="BM354" s="57"/>
    </row>
    <row r="355" spans="1:65" ht="11.25" x14ac:dyDescent="0.2">
      <c r="A355" s="57"/>
      <c r="B355" s="57"/>
      <c r="C355" s="57"/>
      <c r="D355" s="57"/>
      <c r="E355" s="57"/>
      <c r="F355" s="57"/>
      <c r="G355" s="57"/>
      <c r="H355" s="57"/>
      <c r="I355" s="57"/>
      <c r="J355" s="57"/>
      <c r="L355" s="57"/>
      <c r="M355" s="57"/>
      <c r="N355" s="57"/>
      <c r="O355" s="57"/>
      <c r="P355" s="57"/>
      <c r="Q355" s="57"/>
      <c r="R355" s="57"/>
      <c r="S355" s="57"/>
      <c r="T355" s="57"/>
      <c r="U355" s="57"/>
      <c r="V355" s="57"/>
      <c r="W355" s="57"/>
      <c r="X355" s="57"/>
      <c r="Y355" s="98"/>
      <c r="AA355" s="98"/>
      <c r="AR355" s="98"/>
      <c r="AS355" s="57"/>
      <c r="AU355" s="57"/>
      <c r="BF355" s="98"/>
      <c r="BG355" s="98"/>
      <c r="BH355" s="98"/>
      <c r="BI355" s="98"/>
      <c r="BJ355" s="98"/>
      <c r="BK355" s="98"/>
      <c r="BL355" s="98"/>
      <c r="BM355" s="57"/>
    </row>
    <row r="356" spans="1:65" ht="11.25" x14ac:dyDescent="0.2">
      <c r="A356" s="57"/>
      <c r="B356" s="57"/>
      <c r="C356" s="57"/>
      <c r="D356" s="57"/>
      <c r="E356" s="57"/>
      <c r="F356" s="57"/>
      <c r="G356" s="57"/>
      <c r="H356" s="57"/>
      <c r="I356" s="57"/>
      <c r="J356" s="57"/>
      <c r="L356" s="57"/>
      <c r="M356" s="57"/>
      <c r="N356" s="57"/>
      <c r="O356" s="57"/>
      <c r="P356" s="57"/>
      <c r="Q356" s="57"/>
      <c r="R356" s="57"/>
      <c r="S356" s="57"/>
      <c r="T356" s="57"/>
      <c r="U356" s="57"/>
      <c r="V356" s="57"/>
      <c r="W356" s="57"/>
      <c r="X356" s="57"/>
      <c r="Y356" s="98"/>
      <c r="AA356" s="98"/>
      <c r="AR356" s="98"/>
      <c r="AS356" s="57"/>
      <c r="AU356" s="57"/>
      <c r="BF356" s="98"/>
      <c r="BG356" s="98"/>
      <c r="BH356" s="98"/>
      <c r="BI356" s="98"/>
      <c r="BJ356" s="98"/>
      <c r="BK356" s="98"/>
      <c r="BL356" s="98"/>
      <c r="BM356" s="57"/>
    </row>
    <row r="357" spans="1:65" ht="11.25" x14ac:dyDescent="0.2">
      <c r="A357" s="57"/>
      <c r="B357" s="57"/>
      <c r="C357" s="57"/>
      <c r="D357" s="57"/>
      <c r="E357" s="57"/>
      <c r="F357" s="57"/>
      <c r="G357" s="57"/>
      <c r="H357" s="57"/>
      <c r="I357" s="57"/>
      <c r="J357" s="57"/>
      <c r="L357" s="57"/>
      <c r="M357" s="57"/>
      <c r="N357" s="57"/>
      <c r="O357" s="57"/>
      <c r="P357" s="57"/>
      <c r="Q357" s="57"/>
      <c r="R357" s="57"/>
      <c r="S357" s="57"/>
      <c r="T357" s="57"/>
      <c r="U357" s="57"/>
      <c r="V357" s="57"/>
      <c r="W357" s="57"/>
      <c r="X357" s="57"/>
      <c r="Y357" s="98"/>
      <c r="AA357" s="98"/>
      <c r="AR357" s="98"/>
      <c r="AS357" s="57"/>
      <c r="AU357" s="57"/>
      <c r="BF357" s="98"/>
      <c r="BG357" s="98"/>
      <c r="BH357" s="98"/>
      <c r="BI357" s="98"/>
      <c r="BJ357" s="98"/>
      <c r="BK357" s="98"/>
      <c r="BL357" s="98"/>
      <c r="BM357" s="57"/>
    </row>
    <row r="358" spans="1:65" ht="11.25" x14ac:dyDescent="0.2">
      <c r="A358" s="57"/>
      <c r="B358" s="57"/>
      <c r="C358" s="57"/>
      <c r="D358" s="57"/>
      <c r="E358" s="57"/>
      <c r="F358" s="57"/>
      <c r="G358" s="57"/>
      <c r="H358" s="57"/>
      <c r="I358" s="57"/>
      <c r="J358" s="57"/>
      <c r="L358" s="57"/>
      <c r="M358" s="57"/>
      <c r="N358" s="57"/>
      <c r="O358" s="57"/>
      <c r="P358" s="57"/>
      <c r="Q358" s="57"/>
      <c r="R358" s="57"/>
      <c r="S358" s="57"/>
      <c r="T358" s="57"/>
      <c r="U358" s="57"/>
      <c r="V358" s="57"/>
      <c r="W358" s="57"/>
      <c r="X358" s="57"/>
      <c r="Y358" s="98"/>
      <c r="AA358" s="98"/>
      <c r="AR358" s="98"/>
      <c r="AS358" s="57"/>
      <c r="AU358" s="57"/>
      <c r="BF358" s="98"/>
      <c r="BG358" s="98"/>
      <c r="BH358" s="98"/>
      <c r="BI358" s="98"/>
      <c r="BJ358" s="98"/>
      <c r="BK358" s="98"/>
      <c r="BL358" s="98"/>
      <c r="BM358" s="57"/>
    </row>
    <row r="359" spans="1:65" ht="11.25" x14ac:dyDescent="0.2">
      <c r="A359" s="57"/>
      <c r="B359" s="57"/>
      <c r="C359" s="57"/>
      <c r="D359" s="57"/>
      <c r="E359" s="57"/>
      <c r="F359" s="57"/>
      <c r="G359" s="57"/>
      <c r="H359" s="57"/>
      <c r="I359" s="57"/>
      <c r="J359" s="57"/>
      <c r="L359" s="57"/>
      <c r="M359" s="57"/>
      <c r="N359" s="57"/>
      <c r="O359" s="57"/>
      <c r="P359" s="57"/>
      <c r="Q359" s="57"/>
      <c r="R359" s="57"/>
      <c r="S359" s="57"/>
      <c r="T359" s="57"/>
      <c r="U359" s="57"/>
      <c r="V359" s="57"/>
      <c r="W359" s="57"/>
      <c r="X359" s="57"/>
      <c r="Y359" s="98"/>
      <c r="AA359" s="98"/>
      <c r="AR359" s="98"/>
      <c r="AS359" s="57"/>
      <c r="AU359" s="57"/>
      <c r="BF359" s="98"/>
      <c r="BG359" s="98"/>
      <c r="BH359" s="98"/>
      <c r="BI359" s="98"/>
      <c r="BJ359" s="98"/>
      <c r="BK359" s="98"/>
      <c r="BL359" s="98"/>
      <c r="BM359" s="57"/>
    </row>
    <row r="360" spans="1:65" ht="11.25" x14ac:dyDescent="0.2">
      <c r="A360" s="57"/>
      <c r="B360" s="57"/>
      <c r="C360" s="57"/>
      <c r="D360" s="57"/>
      <c r="E360" s="57"/>
      <c r="F360" s="57"/>
      <c r="G360" s="57"/>
      <c r="H360" s="57"/>
      <c r="I360" s="57"/>
      <c r="J360" s="57"/>
      <c r="L360" s="57"/>
      <c r="M360" s="57"/>
      <c r="N360" s="57"/>
      <c r="O360" s="57"/>
      <c r="P360" s="57"/>
      <c r="Q360" s="57"/>
      <c r="R360" s="57"/>
      <c r="S360" s="57"/>
      <c r="T360" s="57"/>
      <c r="U360" s="57"/>
      <c r="V360" s="57"/>
      <c r="W360" s="57"/>
      <c r="X360" s="57"/>
      <c r="Y360" s="98"/>
      <c r="AA360" s="98"/>
      <c r="AR360" s="98"/>
      <c r="AS360" s="57"/>
      <c r="AU360" s="57"/>
      <c r="BF360" s="98"/>
      <c r="BG360" s="98"/>
      <c r="BH360" s="98"/>
      <c r="BI360" s="98"/>
      <c r="BJ360" s="98"/>
      <c r="BK360" s="98"/>
      <c r="BL360" s="98"/>
      <c r="BM360" s="57"/>
    </row>
    <row r="361" spans="1:65" ht="11.25" x14ac:dyDescent="0.2">
      <c r="A361" s="57"/>
      <c r="B361" s="57"/>
      <c r="C361" s="57"/>
      <c r="D361" s="57"/>
      <c r="E361" s="57"/>
      <c r="F361" s="57"/>
      <c r="G361" s="57"/>
      <c r="H361" s="57"/>
      <c r="I361" s="57"/>
      <c r="J361" s="57"/>
      <c r="L361" s="57"/>
      <c r="M361" s="57"/>
      <c r="N361" s="57"/>
      <c r="O361" s="57"/>
      <c r="P361" s="57"/>
      <c r="Q361" s="57"/>
      <c r="R361" s="57"/>
      <c r="S361" s="57"/>
      <c r="T361" s="57"/>
      <c r="U361" s="57"/>
      <c r="V361" s="57"/>
      <c r="W361" s="57"/>
      <c r="X361" s="57"/>
      <c r="Y361" s="98"/>
      <c r="AA361" s="98"/>
      <c r="AR361" s="98"/>
      <c r="AS361" s="57"/>
      <c r="AU361" s="57"/>
      <c r="BF361" s="98"/>
      <c r="BG361" s="98"/>
      <c r="BH361" s="98"/>
      <c r="BI361" s="98"/>
      <c r="BJ361" s="98"/>
      <c r="BK361" s="98"/>
      <c r="BL361" s="98"/>
      <c r="BM361" s="57"/>
    </row>
    <row r="362" spans="1:65" ht="11.25" x14ac:dyDescent="0.2">
      <c r="A362" s="57"/>
      <c r="B362" s="57"/>
      <c r="C362" s="57"/>
      <c r="D362" s="57"/>
      <c r="E362" s="57"/>
      <c r="F362" s="57"/>
      <c r="G362" s="57"/>
      <c r="H362" s="57"/>
      <c r="I362" s="57"/>
      <c r="J362" s="57"/>
      <c r="L362" s="57"/>
      <c r="M362" s="57"/>
      <c r="N362" s="57"/>
      <c r="O362" s="57"/>
      <c r="P362" s="57"/>
      <c r="Q362" s="57"/>
      <c r="R362" s="57"/>
      <c r="S362" s="57"/>
      <c r="T362" s="57"/>
      <c r="U362" s="57"/>
      <c r="V362" s="57"/>
      <c r="W362" s="57"/>
      <c r="X362" s="57"/>
      <c r="Y362" s="98"/>
      <c r="AA362" s="98"/>
      <c r="AR362" s="98"/>
      <c r="AS362" s="57"/>
      <c r="AU362" s="57"/>
      <c r="BF362" s="98"/>
      <c r="BG362" s="98"/>
      <c r="BH362" s="98"/>
      <c r="BI362" s="98"/>
      <c r="BJ362" s="98"/>
      <c r="BK362" s="98"/>
      <c r="BL362" s="98"/>
      <c r="BM362" s="57"/>
    </row>
    <row r="363" spans="1:65" ht="11.25" x14ac:dyDescent="0.2">
      <c r="A363" s="57"/>
      <c r="B363" s="57"/>
      <c r="C363" s="57"/>
      <c r="D363" s="57"/>
      <c r="E363" s="57"/>
      <c r="F363" s="57"/>
      <c r="G363" s="57"/>
      <c r="H363" s="57"/>
      <c r="I363" s="57"/>
      <c r="J363" s="57"/>
      <c r="L363" s="57"/>
      <c r="M363" s="57"/>
      <c r="N363" s="57"/>
      <c r="O363" s="57"/>
      <c r="P363" s="57"/>
      <c r="Q363" s="57"/>
      <c r="R363" s="57"/>
      <c r="S363" s="57"/>
      <c r="T363" s="57"/>
      <c r="U363" s="57"/>
      <c r="V363" s="57"/>
      <c r="W363" s="57"/>
      <c r="X363" s="57"/>
      <c r="Y363" s="98"/>
      <c r="AA363" s="98"/>
      <c r="AR363" s="98"/>
      <c r="AS363" s="57"/>
      <c r="AU363" s="57"/>
      <c r="BF363" s="98"/>
      <c r="BG363" s="98"/>
      <c r="BH363" s="98"/>
      <c r="BI363" s="98"/>
      <c r="BJ363" s="98"/>
      <c r="BK363" s="98"/>
      <c r="BL363" s="98"/>
      <c r="BM363" s="57"/>
    </row>
    <row r="364" spans="1:65" ht="11.25" x14ac:dyDescent="0.2">
      <c r="A364" s="57"/>
      <c r="B364" s="57"/>
      <c r="C364" s="57"/>
      <c r="D364" s="57"/>
      <c r="E364" s="57"/>
      <c r="F364" s="57"/>
      <c r="G364" s="57"/>
      <c r="H364" s="57"/>
      <c r="I364" s="57"/>
      <c r="J364" s="57"/>
      <c r="L364" s="57"/>
      <c r="M364" s="57"/>
      <c r="N364" s="57"/>
      <c r="O364" s="57"/>
      <c r="P364" s="57"/>
      <c r="Q364" s="57"/>
      <c r="R364" s="57"/>
      <c r="S364" s="57"/>
      <c r="T364" s="57"/>
      <c r="U364" s="57"/>
      <c r="V364" s="57"/>
      <c r="W364" s="57"/>
      <c r="X364" s="57"/>
      <c r="Y364" s="98"/>
      <c r="AA364" s="98"/>
      <c r="AR364" s="98"/>
      <c r="AS364" s="57"/>
      <c r="AU364" s="57"/>
      <c r="BF364" s="98"/>
      <c r="BG364" s="98"/>
      <c r="BH364" s="98"/>
      <c r="BI364" s="98"/>
      <c r="BJ364" s="98"/>
      <c r="BK364" s="98"/>
      <c r="BL364" s="98"/>
      <c r="BM364" s="57"/>
    </row>
    <row r="365" spans="1:65" ht="11.25" x14ac:dyDescent="0.2">
      <c r="A365" s="57"/>
      <c r="B365" s="57"/>
      <c r="C365" s="57"/>
      <c r="D365" s="57"/>
      <c r="E365" s="57"/>
      <c r="F365" s="57"/>
      <c r="G365" s="57"/>
      <c r="H365" s="57"/>
      <c r="I365" s="57"/>
      <c r="J365" s="57"/>
      <c r="L365" s="57"/>
      <c r="M365" s="57"/>
      <c r="N365" s="57"/>
      <c r="O365" s="57"/>
      <c r="P365" s="57"/>
      <c r="Q365" s="57"/>
      <c r="R365" s="57"/>
      <c r="S365" s="57"/>
      <c r="T365" s="57"/>
      <c r="U365" s="57"/>
      <c r="V365" s="57"/>
      <c r="W365" s="57"/>
      <c r="X365" s="57"/>
      <c r="Y365" s="98"/>
      <c r="AA365" s="98"/>
      <c r="AR365" s="98"/>
      <c r="AS365" s="57"/>
      <c r="AU365" s="57"/>
      <c r="BF365" s="98"/>
      <c r="BG365" s="98"/>
      <c r="BH365" s="98"/>
      <c r="BI365" s="98"/>
      <c r="BJ365" s="98"/>
      <c r="BK365" s="98"/>
      <c r="BL365" s="98"/>
      <c r="BM365" s="57"/>
    </row>
    <row r="366" spans="1:65" ht="11.25" x14ac:dyDescent="0.2">
      <c r="A366" s="57"/>
      <c r="B366" s="57"/>
      <c r="C366" s="57"/>
      <c r="D366" s="57"/>
      <c r="E366" s="57"/>
      <c r="F366" s="57"/>
      <c r="G366" s="57"/>
      <c r="H366" s="57"/>
      <c r="I366" s="57"/>
      <c r="J366" s="57"/>
      <c r="L366" s="57"/>
      <c r="M366" s="57"/>
      <c r="N366" s="57"/>
      <c r="O366" s="57"/>
      <c r="P366" s="57"/>
      <c r="Q366" s="57"/>
      <c r="R366" s="57"/>
      <c r="S366" s="57"/>
      <c r="T366" s="57"/>
      <c r="U366" s="57"/>
      <c r="V366" s="57"/>
      <c r="W366" s="57"/>
      <c r="X366" s="57"/>
      <c r="Y366" s="98"/>
      <c r="AA366" s="98"/>
      <c r="AR366" s="98"/>
      <c r="AS366" s="57"/>
      <c r="AU366" s="57"/>
      <c r="BF366" s="98"/>
      <c r="BG366" s="98"/>
      <c r="BH366" s="98"/>
      <c r="BI366" s="98"/>
      <c r="BJ366" s="98"/>
      <c r="BK366" s="98"/>
      <c r="BL366" s="98"/>
      <c r="BM366" s="57"/>
    </row>
    <row r="367" spans="1:65" ht="11.25" x14ac:dyDescent="0.2">
      <c r="A367" s="57"/>
      <c r="B367" s="57"/>
      <c r="C367" s="57"/>
      <c r="D367" s="57"/>
      <c r="E367" s="57"/>
      <c r="F367" s="57"/>
      <c r="G367" s="57"/>
      <c r="H367" s="57"/>
      <c r="I367" s="57"/>
      <c r="J367" s="57"/>
      <c r="L367" s="57"/>
      <c r="M367" s="57"/>
      <c r="N367" s="57"/>
      <c r="O367" s="57"/>
      <c r="P367" s="57"/>
      <c r="Q367" s="57"/>
      <c r="R367" s="57"/>
      <c r="S367" s="57"/>
      <c r="T367" s="57"/>
      <c r="U367" s="57"/>
      <c r="V367" s="57"/>
      <c r="W367" s="57"/>
      <c r="X367" s="57"/>
      <c r="Y367" s="98"/>
      <c r="AA367" s="98"/>
      <c r="AR367" s="98"/>
      <c r="AS367" s="57"/>
      <c r="AU367" s="57"/>
      <c r="BF367" s="98"/>
      <c r="BG367" s="98"/>
      <c r="BH367" s="98"/>
      <c r="BI367" s="98"/>
      <c r="BJ367" s="98"/>
      <c r="BK367" s="98"/>
      <c r="BL367" s="98"/>
      <c r="BM367" s="57"/>
    </row>
    <row r="368" spans="1:65" ht="11.25" x14ac:dyDescent="0.2">
      <c r="A368" s="57"/>
      <c r="B368" s="57"/>
      <c r="C368" s="57"/>
      <c r="D368" s="57"/>
      <c r="E368" s="57"/>
      <c r="F368" s="57"/>
      <c r="G368" s="57"/>
      <c r="H368" s="57"/>
      <c r="I368" s="57"/>
      <c r="J368" s="57"/>
      <c r="L368" s="57"/>
      <c r="M368" s="57"/>
      <c r="N368" s="57"/>
      <c r="O368" s="57"/>
      <c r="P368" s="57"/>
      <c r="Q368" s="57"/>
      <c r="R368" s="57"/>
      <c r="S368" s="57"/>
      <c r="T368" s="57"/>
      <c r="U368" s="57"/>
      <c r="V368" s="57"/>
      <c r="W368" s="57"/>
      <c r="X368" s="57"/>
      <c r="Y368" s="98"/>
      <c r="AA368" s="98"/>
      <c r="AR368" s="98"/>
      <c r="AS368" s="57"/>
      <c r="AU368" s="57"/>
      <c r="BF368" s="98"/>
      <c r="BG368" s="98"/>
      <c r="BH368" s="98"/>
      <c r="BI368" s="98"/>
      <c r="BJ368" s="98"/>
      <c r="BK368" s="98"/>
      <c r="BL368" s="98"/>
      <c r="BM368" s="57"/>
    </row>
    <row r="369" spans="1:65" ht="11.25" x14ac:dyDescent="0.2">
      <c r="A369" s="57"/>
      <c r="B369" s="57"/>
      <c r="C369" s="57"/>
      <c r="D369" s="57"/>
      <c r="E369" s="57"/>
      <c r="F369" s="57"/>
      <c r="G369" s="57"/>
      <c r="H369" s="57"/>
      <c r="I369" s="57"/>
      <c r="J369" s="57"/>
      <c r="L369" s="57"/>
      <c r="M369" s="57"/>
      <c r="N369" s="57"/>
      <c r="O369" s="57"/>
      <c r="P369" s="57"/>
      <c r="Q369" s="57"/>
      <c r="R369" s="57"/>
      <c r="S369" s="57"/>
      <c r="T369" s="57"/>
      <c r="U369" s="57"/>
      <c r="V369" s="57"/>
      <c r="W369" s="57"/>
      <c r="X369" s="57"/>
      <c r="Y369" s="98"/>
      <c r="AA369" s="98"/>
      <c r="AR369" s="98"/>
      <c r="AS369" s="57"/>
      <c r="AU369" s="57"/>
      <c r="BF369" s="98"/>
      <c r="BG369" s="98"/>
      <c r="BH369" s="98"/>
      <c r="BI369" s="98"/>
      <c r="BJ369" s="98"/>
      <c r="BK369" s="98"/>
      <c r="BL369" s="98"/>
      <c r="BM369" s="57"/>
    </row>
    <row r="370" spans="1:65" ht="11.25" x14ac:dyDescent="0.2">
      <c r="A370" s="57"/>
      <c r="B370" s="57"/>
      <c r="C370" s="57"/>
      <c r="D370" s="57"/>
      <c r="E370" s="57"/>
      <c r="F370" s="57"/>
      <c r="G370" s="57"/>
      <c r="H370" s="57"/>
      <c r="I370" s="57"/>
      <c r="J370" s="57"/>
      <c r="L370" s="57"/>
      <c r="M370" s="57"/>
      <c r="N370" s="57"/>
      <c r="O370" s="57"/>
      <c r="P370" s="57"/>
      <c r="Q370" s="57"/>
      <c r="R370" s="57"/>
      <c r="S370" s="57"/>
      <c r="T370" s="57"/>
      <c r="U370" s="57"/>
      <c r="V370" s="57"/>
      <c r="W370" s="57"/>
      <c r="X370" s="57"/>
      <c r="Y370" s="98"/>
      <c r="AA370" s="98"/>
      <c r="AR370" s="98"/>
      <c r="AS370" s="57"/>
      <c r="AU370" s="57"/>
      <c r="BF370" s="98"/>
      <c r="BG370" s="98"/>
      <c r="BH370" s="98"/>
      <c r="BI370" s="98"/>
      <c r="BJ370" s="98"/>
      <c r="BK370" s="98"/>
      <c r="BL370" s="98"/>
      <c r="BM370" s="57"/>
    </row>
    <row r="371" spans="1:65" ht="11.25" x14ac:dyDescent="0.2">
      <c r="A371" s="57"/>
      <c r="B371" s="57"/>
      <c r="C371" s="57"/>
      <c r="D371" s="57"/>
      <c r="E371" s="57"/>
      <c r="F371" s="57"/>
      <c r="G371" s="57"/>
      <c r="H371" s="57"/>
      <c r="I371" s="57"/>
      <c r="J371" s="57"/>
      <c r="L371" s="57"/>
      <c r="M371" s="57"/>
      <c r="N371" s="57"/>
      <c r="O371" s="57"/>
      <c r="P371" s="57"/>
      <c r="Q371" s="57"/>
      <c r="R371" s="57"/>
      <c r="S371" s="57"/>
      <c r="T371" s="57"/>
      <c r="U371" s="57"/>
      <c r="V371" s="57"/>
      <c r="W371" s="57"/>
      <c r="X371" s="57"/>
      <c r="Y371" s="98"/>
      <c r="AA371" s="98"/>
      <c r="AR371" s="98"/>
      <c r="AS371" s="57"/>
      <c r="AU371" s="57"/>
      <c r="BF371" s="98"/>
      <c r="BG371" s="98"/>
      <c r="BH371" s="98"/>
      <c r="BI371" s="98"/>
      <c r="BJ371" s="98"/>
      <c r="BK371" s="98"/>
      <c r="BL371" s="98"/>
      <c r="BM371" s="57"/>
    </row>
    <row r="372" spans="1:65" ht="11.25" x14ac:dyDescent="0.2">
      <c r="A372" s="57"/>
      <c r="B372" s="57"/>
      <c r="C372" s="57"/>
      <c r="D372" s="57"/>
      <c r="E372" s="57"/>
      <c r="F372" s="57"/>
      <c r="G372" s="57"/>
      <c r="H372" s="57"/>
      <c r="I372" s="57"/>
      <c r="J372" s="57"/>
      <c r="L372" s="57"/>
      <c r="M372" s="57"/>
      <c r="N372" s="57"/>
      <c r="O372" s="57"/>
      <c r="P372" s="57"/>
      <c r="Q372" s="57"/>
      <c r="R372" s="57"/>
      <c r="S372" s="57"/>
      <c r="T372" s="57"/>
      <c r="U372" s="57"/>
      <c r="V372" s="57"/>
      <c r="W372" s="57"/>
      <c r="X372" s="57"/>
      <c r="Y372" s="98"/>
      <c r="AA372" s="98"/>
      <c r="AR372" s="98"/>
      <c r="AS372" s="57"/>
      <c r="AU372" s="57"/>
      <c r="BF372" s="98"/>
      <c r="BG372" s="98"/>
      <c r="BH372" s="98"/>
      <c r="BI372" s="98"/>
      <c r="BJ372" s="98"/>
      <c r="BK372" s="98"/>
      <c r="BL372" s="98"/>
      <c r="BM372" s="57"/>
    </row>
    <row r="373" spans="1:65" ht="11.25" x14ac:dyDescent="0.2">
      <c r="A373" s="57"/>
      <c r="B373" s="57"/>
      <c r="C373" s="57"/>
      <c r="D373" s="57"/>
      <c r="E373" s="57"/>
      <c r="F373" s="57"/>
      <c r="G373" s="57"/>
      <c r="H373" s="57"/>
      <c r="I373" s="57"/>
      <c r="J373" s="57"/>
      <c r="L373" s="57"/>
      <c r="M373" s="57"/>
      <c r="N373" s="57"/>
      <c r="O373" s="57"/>
      <c r="P373" s="57"/>
      <c r="Q373" s="57"/>
      <c r="R373" s="57"/>
      <c r="S373" s="57"/>
      <c r="T373" s="57"/>
      <c r="U373" s="57"/>
      <c r="V373" s="57"/>
      <c r="W373" s="57"/>
      <c r="X373" s="57"/>
      <c r="Y373" s="98"/>
      <c r="AA373" s="98"/>
      <c r="AR373" s="98"/>
      <c r="AS373" s="57"/>
      <c r="AU373" s="57"/>
      <c r="BF373" s="98"/>
      <c r="BG373" s="98"/>
      <c r="BH373" s="98"/>
      <c r="BI373" s="98"/>
      <c r="BJ373" s="98"/>
      <c r="BK373" s="98"/>
      <c r="BL373" s="98"/>
      <c r="BM373" s="57"/>
    </row>
    <row r="374" spans="1:65" ht="11.25" x14ac:dyDescent="0.2">
      <c r="A374" s="57"/>
      <c r="B374" s="57"/>
      <c r="C374" s="57"/>
      <c r="D374" s="57"/>
      <c r="E374" s="57"/>
      <c r="F374" s="57"/>
      <c r="G374" s="57"/>
      <c r="H374" s="57"/>
      <c r="I374" s="57"/>
      <c r="J374" s="57"/>
      <c r="L374" s="57"/>
      <c r="M374" s="57"/>
      <c r="N374" s="57"/>
      <c r="O374" s="57"/>
      <c r="P374" s="57"/>
      <c r="Q374" s="57"/>
      <c r="R374" s="57"/>
      <c r="S374" s="57"/>
      <c r="T374" s="57"/>
      <c r="U374" s="57"/>
      <c r="V374" s="57"/>
      <c r="W374" s="57"/>
      <c r="X374" s="57"/>
      <c r="Y374" s="98"/>
      <c r="AA374" s="98"/>
      <c r="AR374" s="98"/>
      <c r="AS374" s="57"/>
      <c r="AU374" s="57"/>
      <c r="BF374" s="98"/>
      <c r="BG374" s="98"/>
      <c r="BH374" s="98"/>
      <c r="BI374" s="98"/>
      <c r="BJ374" s="98"/>
      <c r="BK374" s="98"/>
      <c r="BL374" s="98"/>
      <c r="BM374" s="57"/>
    </row>
    <row r="375" spans="1:65" ht="11.25" x14ac:dyDescent="0.2">
      <c r="A375" s="57"/>
      <c r="B375" s="57"/>
      <c r="C375" s="57"/>
      <c r="D375" s="57"/>
      <c r="E375" s="57"/>
      <c r="F375" s="57"/>
      <c r="G375" s="57"/>
      <c r="H375" s="57"/>
      <c r="I375" s="57"/>
      <c r="J375" s="57"/>
      <c r="L375" s="57"/>
      <c r="M375" s="57"/>
      <c r="N375" s="57"/>
      <c r="O375" s="57"/>
      <c r="P375" s="57"/>
      <c r="Q375" s="57"/>
      <c r="R375" s="57"/>
      <c r="S375" s="57"/>
      <c r="T375" s="57"/>
      <c r="U375" s="57"/>
      <c r="V375" s="57"/>
      <c r="W375" s="57"/>
      <c r="X375" s="57"/>
      <c r="Y375" s="98"/>
      <c r="AA375" s="98"/>
      <c r="AR375" s="98"/>
      <c r="AS375" s="57"/>
      <c r="AU375" s="57"/>
      <c r="BF375" s="98"/>
      <c r="BG375" s="98"/>
      <c r="BH375" s="98"/>
      <c r="BI375" s="98"/>
      <c r="BJ375" s="98"/>
      <c r="BK375" s="98"/>
      <c r="BL375" s="98"/>
      <c r="BM375" s="57"/>
    </row>
    <row r="376" spans="1:65" ht="11.25" x14ac:dyDescent="0.2">
      <c r="A376" s="57"/>
      <c r="B376" s="57"/>
      <c r="C376" s="57"/>
      <c r="D376" s="57"/>
      <c r="E376" s="57"/>
      <c r="F376" s="57"/>
      <c r="G376" s="57"/>
      <c r="H376" s="57"/>
      <c r="I376" s="57"/>
      <c r="J376" s="57"/>
      <c r="L376" s="57"/>
      <c r="M376" s="57"/>
      <c r="N376" s="57"/>
      <c r="O376" s="57"/>
      <c r="P376" s="57"/>
      <c r="Q376" s="57"/>
      <c r="R376" s="57"/>
      <c r="S376" s="57"/>
      <c r="T376" s="57"/>
      <c r="U376" s="57"/>
      <c r="V376" s="57"/>
      <c r="W376" s="57"/>
      <c r="X376" s="57"/>
      <c r="Y376" s="98"/>
      <c r="AA376" s="98"/>
      <c r="AR376" s="98"/>
      <c r="AS376" s="57"/>
      <c r="AU376" s="57"/>
      <c r="BF376" s="98"/>
      <c r="BG376" s="98"/>
      <c r="BH376" s="98"/>
      <c r="BI376" s="98"/>
      <c r="BJ376" s="98"/>
      <c r="BK376" s="98"/>
      <c r="BL376" s="98"/>
      <c r="BM376" s="57"/>
    </row>
    <row r="377" spans="1:65" ht="11.25" x14ac:dyDescent="0.2">
      <c r="A377" s="57"/>
      <c r="B377" s="57"/>
      <c r="C377" s="57"/>
      <c r="D377" s="57"/>
      <c r="E377" s="57"/>
      <c r="F377" s="57"/>
      <c r="G377" s="57"/>
      <c r="H377" s="57"/>
      <c r="I377" s="57"/>
      <c r="J377" s="57"/>
      <c r="L377" s="57"/>
      <c r="M377" s="57"/>
      <c r="N377" s="57"/>
      <c r="O377" s="57"/>
      <c r="P377" s="57"/>
      <c r="Q377" s="57"/>
      <c r="R377" s="57"/>
      <c r="S377" s="57"/>
      <c r="T377" s="57"/>
      <c r="U377" s="57"/>
      <c r="V377" s="57"/>
      <c r="W377" s="57"/>
      <c r="X377" s="57"/>
      <c r="Y377" s="98"/>
      <c r="AA377" s="98"/>
      <c r="AR377" s="98"/>
      <c r="AS377" s="57"/>
      <c r="AU377" s="57"/>
      <c r="BF377" s="98"/>
      <c r="BG377" s="98"/>
      <c r="BH377" s="98"/>
      <c r="BI377" s="98"/>
      <c r="BJ377" s="98"/>
      <c r="BK377" s="98"/>
      <c r="BL377" s="98"/>
      <c r="BM377" s="57"/>
    </row>
    <row r="378" spans="1:65" ht="11.25" x14ac:dyDescent="0.2">
      <c r="A378" s="57"/>
      <c r="B378" s="57"/>
      <c r="C378" s="57"/>
      <c r="D378" s="57"/>
      <c r="E378" s="57"/>
      <c r="F378" s="57"/>
      <c r="G378" s="57"/>
      <c r="H378" s="57"/>
      <c r="I378" s="57"/>
      <c r="J378" s="57"/>
      <c r="L378" s="57"/>
      <c r="M378" s="57"/>
      <c r="N378" s="57"/>
      <c r="O378" s="57"/>
      <c r="P378" s="57"/>
      <c r="Q378" s="57"/>
      <c r="R378" s="57"/>
      <c r="S378" s="57"/>
      <c r="T378" s="57"/>
      <c r="U378" s="57"/>
      <c r="V378" s="57"/>
      <c r="W378" s="57"/>
      <c r="X378" s="57"/>
      <c r="Y378" s="98"/>
      <c r="AA378" s="98"/>
      <c r="AR378" s="98"/>
      <c r="AS378" s="57"/>
      <c r="AU378" s="57"/>
      <c r="BF378" s="98"/>
      <c r="BG378" s="98"/>
      <c r="BH378" s="98"/>
      <c r="BI378" s="98"/>
      <c r="BJ378" s="98"/>
      <c r="BK378" s="98"/>
      <c r="BL378" s="98"/>
      <c r="BM378" s="57"/>
    </row>
    <row r="379" spans="1:65" ht="11.25" x14ac:dyDescent="0.2">
      <c r="A379" s="57"/>
      <c r="B379" s="57"/>
      <c r="C379" s="57"/>
      <c r="D379" s="57"/>
      <c r="E379" s="57"/>
      <c r="F379" s="57"/>
      <c r="G379" s="57"/>
      <c r="H379" s="57"/>
      <c r="I379" s="57"/>
      <c r="J379" s="57"/>
      <c r="L379" s="57"/>
      <c r="M379" s="57"/>
      <c r="N379" s="57"/>
      <c r="O379" s="57"/>
      <c r="P379" s="57"/>
      <c r="Q379" s="57"/>
      <c r="R379" s="57"/>
      <c r="S379" s="57"/>
      <c r="T379" s="57"/>
      <c r="U379" s="57"/>
      <c r="V379" s="57"/>
      <c r="W379" s="57"/>
      <c r="X379" s="57"/>
      <c r="Y379" s="98"/>
      <c r="AA379" s="98"/>
      <c r="AR379" s="98"/>
      <c r="AS379" s="57"/>
      <c r="AU379" s="57"/>
      <c r="BF379" s="98"/>
      <c r="BG379" s="98"/>
      <c r="BH379" s="98"/>
      <c r="BI379" s="98"/>
      <c r="BJ379" s="98"/>
      <c r="BK379" s="98"/>
      <c r="BL379" s="98"/>
      <c r="BM379" s="57"/>
    </row>
    <row r="380" spans="1:65" ht="11.25" x14ac:dyDescent="0.2">
      <c r="A380" s="57"/>
      <c r="B380" s="57"/>
      <c r="C380" s="57"/>
      <c r="D380" s="57"/>
      <c r="E380" s="57"/>
      <c r="F380" s="57"/>
      <c r="G380" s="57"/>
      <c r="H380" s="57"/>
      <c r="I380" s="57"/>
      <c r="J380" s="57"/>
      <c r="L380" s="57"/>
      <c r="M380" s="57"/>
      <c r="N380" s="57"/>
      <c r="O380" s="57"/>
      <c r="P380" s="57"/>
      <c r="Q380" s="57"/>
      <c r="R380" s="57"/>
      <c r="S380" s="57"/>
      <c r="T380" s="57"/>
      <c r="U380" s="57"/>
      <c r="V380" s="57"/>
      <c r="W380" s="57"/>
      <c r="X380" s="57"/>
      <c r="Y380" s="98"/>
      <c r="AA380" s="98"/>
      <c r="AR380" s="98"/>
      <c r="AS380" s="57"/>
      <c r="AU380" s="57"/>
      <c r="BF380" s="98"/>
      <c r="BG380" s="98"/>
      <c r="BH380" s="98"/>
      <c r="BI380" s="98"/>
      <c r="BJ380" s="98"/>
      <c r="BK380" s="98"/>
      <c r="BL380" s="98"/>
      <c r="BM380" s="57"/>
    </row>
    <row r="381" spans="1:65" ht="11.25" x14ac:dyDescent="0.2">
      <c r="A381" s="57"/>
      <c r="B381" s="57"/>
      <c r="C381" s="57"/>
      <c r="D381" s="57"/>
      <c r="E381" s="57"/>
      <c r="F381" s="57"/>
      <c r="G381" s="57"/>
      <c r="H381" s="57"/>
      <c r="I381" s="57"/>
      <c r="J381" s="57"/>
      <c r="L381" s="57"/>
      <c r="M381" s="57"/>
      <c r="N381" s="57"/>
      <c r="O381" s="57"/>
      <c r="P381" s="57"/>
      <c r="Q381" s="57"/>
      <c r="R381" s="57"/>
      <c r="S381" s="57"/>
      <c r="T381" s="57"/>
      <c r="U381" s="57"/>
      <c r="V381" s="57"/>
      <c r="W381" s="57"/>
      <c r="X381" s="57"/>
      <c r="Y381" s="98"/>
      <c r="AA381" s="98"/>
      <c r="AR381" s="98"/>
      <c r="AS381" s="57"/>
      <c r="AU381" s="57"/>
      <c r="BF381" s="98"/>
      <c r="BG381" s="98"/>
      <c r="BH381" s="98"/>
      <c r="BI381" s="98"/>
      <c r="BJ381" s="98"/>
      <c r="BK381" s="98"/>
      <c r="BL381" s="98"/>
      <c r="BM381" s="57"/>
    </row>
    <row r="382" spans="1:65" ht="11.25" x14ac:dyDescent="0.2">
      <c r="A382" s="57"/>
      <c r="B382" s="57"/>
      <c r="C382" s="57"/>
      <c r="D382" s="57"/>
      <c r="E382" s="57"/>
      <c r="F382" s="57"/>
      <c r="G382" s="57"/>
      <c r="H382" s="57"/>
      <c r="I382" s="57"/>
      <c r="J382" s="57"/>
      <c r="L382" s="57"/>
      <c r="M382" s="57"/>
      <c r="N382" s="57"/>
      <c r="O382" s="57"/>
      <c r="P382" s="57"/>
      <c r="Q382" s="57"/>
      <c r="R382" s="57"/>
      <c r="S382" s="57"/>
      <c r="T382" s="57"/>
      <c r="U382" s="57"/>
      <c r="V382" s="57"/>
      <c r="W382" s="57"/>
      <c r="X382" s="57"/>
      <c r="Y382" s="98"/>
      <c r="AA382" s="98"/>
      <c r="AR382" s="98"/>
      <c r="AS382" s="57"/>
      <c r="AU382" s="57"/>
      <c r="BF382" s="98"/>
      <c r="BG382" s="98"/>
      <c r="BH382" s="98"/>
      <c r="BI382" s="98"/>
      <c r="BJ382" s="98"/>
      <c r="BK382" s="98"/>
      <c r="BL382" s="98"/>
      <c r="BM382" s="57"/>
    </row>
    <row r="383" spans="1:65" ht="11.25" x14ac:dyDescent="0.2">
      <c r="A383" s="57"/>
      <c r="B383" s="57"/>
      <c r="C383" s="57"/>
      <c r="D383" s="57"/>
      <c r="E383" s="57"/>
      <c r="F383" s="57"/>
      <c r="G383" s="57"/>
      <c r="H383" s="57"/>
      <c r="I383" s="57"/>
      <c r="J383" s="57"/>
      <c r="L383" s="57"/>
      <c r="M383" s="57"/>
      <c r="N383" s="57"/>
      <c r="O383" s="57"/>
      <c r="P383" s="57"/>
      <c r="Q383" s="57"/>
      <c r="R383" s="57"/>
      <c r="S383" s="57"/>
      <c r="T383" s="57"/>
      <c r="U383" s="57"/>
      <c r="V383" s="57"/>
      <c r="W383" s="57"/>
      <c r="X383" s="57"/>
      <c r="Y383" s="98"/>
      <c r="AA383" s="98"/>
      <c r="AR383" s="98"/>
      <c r="AS383" s="57"/>
      <c r="AU383" s="57"/>
      <c r="BF383" s="98"/>
      <c r="BG383" s="98"/>
      <c r="BH383" s="98"/>
      <c r="BI383" s="98"/>
      <c r="BJ383" s="98"/>
      <c r="BK383" s="98"/>
      <c r="BL383" s="98"/>
      <c r="BM383" s="57"/>
    </row>
    <row r="384" spans="1:65" ht="11.25" x14ac:dyDescent="0.2">
      <c r="A384" s="57"/>
      <c r="B384" s="57"/>
      <c r="C384" s="57"/>
      <c r="D384" s="57"/>
      <c r="E384" s="57"/>
      <c r="F384" s="57"/>
      <c r="G384" s="57"/>
      <c r="H384" s="57"/>
      <c r="I384" s="57"/>
      <c r="J384" s="57"/>
      <c r="L384" s="57"/>
      <c r="M384" s="57"/>
      <c r="N384" s="57"/>
      <c r="O384" s="57"/>
      <c r="P384" s="57"/>
      <c r="Q384" s="57"/>
      <c r="R384" s="57"/>
      <c r="S384" s="57"/>
      <c r="T384" s="57"/>
      <c r="U384" s="57"/>
      <c r="V384" s="57"/>
      <c r="W384" s="57"/>
      <c r="X384" s="57"/>
      <c r="Y384" s="98"/>
      <c r="AA384" s="98"/>
      <c r="AR384" s="98"/>
      <c r="AS384" s="57"/>
      <c r="AU384" s="57"/>
      <c r="BF384" s="98"/>
      <c r="BG384" s="98"/>
      <c r="BH384" s="98"/>
      <c r="BI384" s="98"/>
      <c r="BJ384" s="98"/>
      <c r="BK384" s="98"/>
      <c r="BL384" s="98"/>
      <c r="BM384" s="57"/>
    </row>
    <row r="385" spans="1:65" ht="11.25" x14ac:dyDescent="0.2">
      <c r="A385" s="57"/>
      <c r="B385" s="57"/>
      <c r="C385" s="57"/>
      <c r="D385" s="57"/>
      <c r="E385" s="57"/>
      <c r="F385" s="57"/>
      <c r="G385" s="57"/>
      <c r="H385" s="57"/>
      <c r="I385" s="57"/>
      <c r="J385" s="57"/>
      <c r="L385" s="57"/>
      <c r="M385" s="57"/>
      <c r="N385" s="57"/>
      <c r="O385" s="57"/>
      <c r="P385" s="57"/>
      <c r="Q385" s="57"/>
      <c r="R385" s="57"/>
      <c r="S385" s="57"/>
      <c r="T385" s="57"/>
      <c r="U385" s="57"/>
      <c r="V385" s="57"/>
      <c r="W385" s="57"/>
      <c r="X385" s="57"/>
      <c r="Y385" s="98"/>
      <c r="AA385" s="98"/>
      <c r="AR385" s="98"/>
      <c r="AS385" s="57"/>
      <c r="AU385" s="57"/>
      <c r="BF385" s="98"/>
      <c r="BG385" s="98"/>
      <c r="BH385" s="98"/>
      <c r="BI385" s="98"/>
      <c r="BJ385" s="98"/>
      <c r="BK385" s="98"/>
      <c r="BL385" s="98"/>
      <c r="BM385" s="57"/>
    </row>
    <row r="386" spans="1:65" ht="11.25" x14ac:dyDescent="0.2">
      <c r="A386" s="57"/>
      <c r="B386" s="57"/>
      <c r="C386" s="57"/>
      <c r="D386" s="57"/>
      <c r="E386" s="57"/>
      <c r="F386" s="57"/>
      <c r="G386" s="57"/>
      <c r="H386" s="57"/>
      <c r="I386" s="57"/>
      <c r="J386" s="57"/>
      <c r="L386" s="57"/>
      <c r="M386" s="57"/>
      <c r="N386" s="57"/>
      <c r="O386" s="57"/>
      <c r="P386" s="57"/>
      <c r="Q386" s="57"/>
      <c r="R386" s="57"/>
      <c r="S386" s="57"/>
      <c r="T386" s="57"/>
      <c r="U386" s="57"/>
      <c r="V386" s="57"/>
      <c r="W386" s="57"/>
      <c r="X386" s="57"/>
      <c r="Y386" s="98"/>
      <c r="AA386" s="98"/>
      <c r="AR386" s="98"/>
      <c r="AS386" s="57"/>
      <c r="AU386" s="57"/>
      <c r="BF386" s="98"/>
      <c r="BG386" s="98"/>
      <c r="BH386" s="98"/>
      <c r="BI386" s="98"/>
      <c r="BJ386" s="98"/>
      <c r="BK386" s="98"/>
      <c r="BL386" s="98"/>
      <c r="BM386" s="57"/>
    </row>
    <row r="387" spans="1:65" ht="11.25" x14ac:dyDescent="0.2">
      <c r="A387" s="57"/>
      <c r="B387" s="57"/>
      <c r="C387" s="57"/>
      <c r="D387" s="57"/>
      <c r="E387" s="57"/>
      <c r="F387" s="57"/>
      <c r="G387" s="57"/>
      <c r="H387" s="57"/>
      <c r="I387" s="57"/>
      <c r="J387" s="57"/>
      <c r="L387" s="57"/>
      <c r="M387" s="57"/>
      <c r="N387" s="57"/>
      <c r="O387" s="57"/>
      <c r="P387" s="57"/>
      <c r="Q387" s="57"/>
      <c r="R387" s="57"/>
      <c r="S387" s="57"/>
      <c r="T387" s="57"/>
      <c r="U387" s="57"/>
      <c r="V387" s="57"/>
      <c r="W387" s="57"/>
      <c r="X387" s="57"/>
      <c r="Y387" s="98"/>
      <c r="AA387" s="98"/>
      <c r="AR387" s="98"/>
      <c r="AS387" s="57"/>
      <c r="AU387" s="57"/>
      <c r="BF387" s="98"/>
      <c r="BG387" s="98"/>
      <c r="BH387" s="98"/>
      <c r="BI387" s="98"/>
      <c r="BJ387" s="98"/>
      <c r="BK387" s="98"/>
      <c r="BL387" s="98"/>
      <c r="BM387" s="57"/>
    </row>
    <row r="388" spans="1:65" ht="11.25" x14ac:dyDescent="0.2">
      <c r="A388" s="57"/>
      <c r="B388" s="57"/>
      <c r="C388" s="57"/>
      <c r="D388" s="57"/>
      <c r="E388" s="57"/>
      <c r="F388" s="57"/>
      <c r="G388" s="57"/>
      <c r="H388" s="57"/>
      <c r="I388" s="57"/>
      <c r="J388" s="57"/>
      <c r="L388" s="57"/>
      <c r="M388" s="57"/>
      <c r="N388" s="57"/>
      <c r="O388" s="57"/>
      <c r="P388" s="57"/>
      <c r="Q388" s="57"/>
      <c r="R388" s="57"/>
      <c r="S388" s="57"/>
      <c r="T388" s="57"/>
      <c r="U388" s="57"/>
      <c r="V388" s="57"/>
      <c r="W388" s="57"/>
      <c r="X388" s="57"/>
      <c r="Y388" s="98"/>
      <c r="AA388" s="98"/>
      <c r="AR388" s="98"/>
      <c r="AS388" s="57"/>
      <c r="AU388" s="57"/>
      <c r="BF388" s="98"/>
      <c r="BG388" s="98"/>
      <c r="BH388" s="98"/>
      <c r="BI388" s="98"/>
      <c r="BJ388" s="98"/>
      <c r="BK388" s="98"/>
      <c r="BL388" s="98"/>
      <c r="BM388" s="57"/>
    </row>
    <row r="389" spans="1:65" ht="11.25" x14ac:dyDescent="0.2">
      <c r="A389" s="57"/>
      <c r="B389" s="57"/>
      <c r="C389" s="57"/>
      <c r="D389" s="57"/>
      <c r="E389" s="57"/>
      <c r="F389" s="57"/>
      <c r="G389" s="57"/>
      <c r="H389" s="57"/>
      <c r="I389" s="57"/>
      <c r="J389" s="57"/>
      <c r="L389" s="57"/>
      <c r="M389" s="57"/>
      <c r="N389" s="57"/>
      <c r="O389" s="57"/>
      <c r="P389" s="57"/>
      <c r="Q389" s="57"/>
      <c r="R389" s="57"/>
      <c r="S389" s="57"/>
      <c r="T389" s="57"/>
      <c r="U389" s="57"/>
      <c r="V389" s="57"/>
      <c r="W389" s="57"/>
      <c r="X389" s="57"/>
      <c r="Y389" s="98"/>
      <c r="AA389" s="98"/>
      <c r="AR389" s="98"/>
      <c r="AS389" s="57"/>
      <c r="AU389" s="57"/>
      <c r="BF389" s="98"/>
      <c r="BG389" s="98"/>
      <c r="BH389" s="98"/>
      <c r="BI389" s="98"/>
      <c r="BJ389" s="98"/>
      <c r="BK389" s="98"/>
      <c r="BL389" s="98"/>
      <c r="BM389" s="57"/>
    </row>
    <row r="390" spans="1:65" ht="11.25" x14ac:dyDescent="0.2">
      <c r="A390" s="57"/>
      <c r="B390" s="57"/>
      <c r="C390" s="57"/>
      <c r="D390" s="57"/>
      <c r="E390" s="57"/>
      <c r="F390" s="57"/>
      <c r="G390" s="57"/>
      <c r="H390" s="57"/>
      <c r="I390" s="57"/>
      <c r="J390" s="57"/>
      <c r="L390" s="57"/>
      <c r="M390" s="57"/>
      <c r="N390" s="57"/>
      <c r="O390" s="57"/>
      <c r="P390" s="57"/>
      <c r="Q390" s="57"/>
      <c r="R390" s="57"/>
      <c r="S390" s="57"/>
      <c r="T390" s="57"/>
      <c r="U390" s="57"/>
      <c r="V390" s="57"/>
      <c r="W390" s="57"/>
      <c r="X390" s="57"/>
      <c r="Y390" s="98"/>
      <c r="AA390" s="98"/>
      <c r="AR390" s="98"/>
      <c r="AS390" s="57"/>
      <c r="AU390" s="57"/>
      <c r="BF390" s="98"/>
      <c r="BG390" s="98"/>
      <c r="BH390" s="98"/>
      <c r="BI390" s="98"/>
      <c r="BJ390" s="98"/>
      <c r="BK390" s="98"/>
      <c r="BL390" s="98"/>
      <c r="BM390" s="57"/>
    </row>
    <row r="391" spans="1:65" ht="11.25" x14ac:dyDescent="0.2">
      <c r="A391" s="57"/>
      <c r="B391" s="57"/>
      <c r="C391" s="57"/>
      <c r="D391" s="57"/>
      <c r="E391" s="57"/>
      <c r="F391" s="57"/>
      <c r="G391" s="57"/>
      <c r="H391" s="57"/>
      <c r="I391" s="57"/>
      <c r="J391" s="57"/>
      <c r="L391" s="57"/>
      <c r="M391" s="57"/>
      <c r="N391" s="57"/>
      <c r="O391" s="57"/>
      <c r="P391" s="57"/>
      <c r="Q391" s="57"/>
      <c r="R391" s="57"/>
      <c r="S391" s="57"/>
      <c r="T391" s="57"/>
      <c r="U391" s="57"/>
      <c r="V391" s="57"/>
      <c r="W391" s="57"/>
      <c r="X391" s="57"/>
      <c r="Y391" s="98"/>
      <c r="AA391" s="98"/>
      <c r="AR391" s="98"/>
      <c r="AS391" s="57"/>
      <c r="AU391" s="57"/>
      <c r="BF391" s="98"/>
      <c r="BG391" s="98"/>
      <c r="BH391" s="98"/>
      <c r="BI391" s="98"/>
      <c r="BJ391" s="98"/>
      <c r="BK391" s="98"/>
      <c r="BL391" s="98"/>
      <c r="BM391" s="57"/>
    </row>
    <row r="392" spans="1:65" ht="11.25" x14ac:dyDescent="0.2">
      <c r="A392" s="57"/>
      <c r="B392" s="57"/>
      <c r="C392" s="57"/>
      <c r="D392" s="57"/>
      <c r="E392" s="57"/>
      <c r="F392" s="57"/>
      <c r="G392" s="57"/>
      <c r="H392" s="57"/>
      <c r="I392" s="57"/>
      <c r="J392" s="57"/>
      <c r="L392" s="57"/>
      <c r="M392" s="57"/>
      <c r="N392" s="57"/>
      <c r="O392" s="57"/>
      <c r="P392" s="57"/>
      <c r="Q392" s="57"/>
      <c r="R392" s="57"/>
      <c r="S392" s="57"/>
      <c r="T392" s="57"/>
      <c r="U392" s="57"/>
      <c r="V392" s="57"/>
      <c r="W392" s="57"/>
      <c r="X392" s="57"/>
      <c r="Y392" s="98"/>
      <c r="AA392" s="98"/>
      <c r="AR392" s="98"/>
      <c r="AS392" s="57"/>
      <c r="AU392" s="57"/>
      <c r="BF392" s="98"/>
      <c r="BG392" s="98"/>
      <c r="BH392" s="98"/>
      <c r="BI392" s="98"/>
      <c r="BJ392" s="98"/>
      <c r="BK392" s="98"/>
      <c r="BL392" s="98"/>
      <c r="BM392" s="57"/>
    </row>
    <row r="393" spans="1:65" ht="11.25" x14ac:dyDescent="0.2">
      <c r="A393" s="57"/>
      <c r="B393" s="57"/>
      <c r="C393" s="57"/>
      <c r="D393" s="57"/>
      <c r="E393" s="57"/>
      <c r="F393" s="57"/>
      <c r="G393" s="57"/>
      <c r="H393" s="57"/>
      <c r="I393" s="57"/>
      <c r="J393" s="57"/>
      <c r="L393" s="57"/>
      <c r="M393" s="57"/>
      <c r="N393" s="57"/>
      <c r="O393" s="57"/>
      <c r="P393" s="57"/>
      <c r="Q393" s="57"/>
      <c r="R393" s="57"/>
      <c r="S393" s="57"/>
      <c r="T393" s="57"/>
      <c r="U393" s="57"/>
      <c r="V393" s="57"/>
      <c r="W393" s="57"/>
      <c r="X393" s="57"/>
      <c r="Y393" s="98"/>
      <c r="AA393" s="98"/>
      <c r="AR393" s="98"/>
      <c r="AS393" s="57"/>
      <c r="AU393" s="57"/>
      <c r="BF393" s="98"/>
      <c r="BG393" s="98"/>
      <c r="BH393" s="98"/>
      <c r="BI393" s="98"/>
      <c r="BJ393" s="98"/>
      <c r="BK393" s="98"/>
      <c r="BL393" s="98"/>
      <c r="BM393" s="57"/>
    </row>
    <row r="394" spans="1:65" ht="11.25" x14ac:dyDescent="0.2">
      <c r="A394" s="57"/>
      <c r="B394" s="57"/>
      <c r="C394" s="57"/>
      <c r="D394" s="57"/>
      <c r="E394" s="57"/>
      <c r="F394" s="57"/>
      <c r="G394" s="57"/>
      <c r="H394" s="57"/>
      <c r="I394" s="57"/>
      <c r="J394" s="57"/>
      <c r="L394" s="57"/>
      <c r="M394" s="57"/>
      <c r="N394" s="57"/>
      <c r="O394" s="57"/>
      <c r="P394" s="57"/>
      <c r="Q394" s="57"/>
      <c r="R394" s="57"/>
      <c r="S394" s="57"/>
      <c r="T394" s="57"/>
      <c r="U394" s="57"/>
      <c r="V394" s="57"/>
      <c r="W394" s="57"/>
      <c r="X394" s="57"/>
      <c r="Y394" s="98"/>
      <c r="AA394" s="98"/>
      <c r="AR394" s="98"/>
      <c r="AS394" s="57"/>
      <c r="AU394" s="57"/>
      <c r="BF394" s="98"/>
      <c r="BG394" s="98"/>
      <c r="BH394" s="98"/>
      <c r="BI394" s="98"/>
      <c r="BJ394" s="98"/>
      <c r="BK394" s="98"/>
      <c r="BL394" s="98"/>
      <c r="BM394" s="57"/>
    </row>
    <row r="395" spans="1:65" ht="11.25" x14ac:dyDescent="0.2">
      <c r="A395" s="57"/>
      <c r="B395" s="57"/>
      <c r="C395" s="57"/>
      <c r="D395" s="57"/>
      <c r="E395" s="57"/>
      <c r="F395" s="57"/>
      <c r="G395" s="57"/>
      <c r="H395" s="57"/>
      <c r="I395" s="57"/>
      <c r="J395" s="57"/>
      <c r="L395" s="57"/>
      <c r="M395" s="57"/>
      <c r="N395" s="57"/>
      <c r="O395" s="57"/>
      <c r="P395" s="57"/>
      <c r="Q395" s="57"/>
      <c r="R395" s="57"/>
      <c r="S395" s="57"/>
      <c r="T395" s="57"/>
      <c r="U395" s="57"/>
      <c r="V395" s="57"/>
      <c r="W395" s="57"/>
      <c r="X395" s="57"/>
      <c r="Y395" s="98"/>
      <c r="AA395" s="98"/>
      <c r="AR395" s="98"/>
      <c r="AS395" s="57"/>
      <c r="AU395" s="57"/>
      <c r="BF395" s="98"/>
      <c r="BG395" s="98"/>
      <c r="BH395" s="98"/>
      <c r="BI395" s="98"/>
      <c r="BJ395" s="98"/>
      <c r="BK395" s="98"/>
      <c r="BL395" s="98"/>
      <c r="BM395" s="57"/>
    </row>
    <row r="396" spans="1:65" ht="11.25" x14ac:dyDescent="0.2">
      <c r="A396" s="57"/>
      <c r="B396" s="57"/>
      <c r="C396" s="57"/>
      <c r="D396" s="57"/>
      <c r="E396" s="57"/>
      <c r="F396" s="57"/>
      <c r="G396" s="57"/>
      <c r="H396" s="57"/>
      <c r="I396" s="57"/>
      <c r="J396" s="57"/>
      <c r="L396" s="57"/>
      <c r="M396" s="57"/>
      <c r="N396" s="57"/>
      <c r="O396" s="57"/>
      <c r="P396" s="57"/>
      <c r="Q396" s="57"/>
      <c r="R396" s="57"/>
      <c r="S396" s="57"/>
      <c r="T396" s="57"/>
      <c r="U396" s="57"/>
      <c r="V396" s="57"/>
      <c r="W396" s="57"/>
      <c r="X396" s="57"/>
      <c r="Y396" s="98"/>
      <c r="AA396" s="98"/>
      <c r="AR396" s="98"/>
      <c r="AS396" s="57"/>
      <c r="AU396" s="57"/>
      <c r="BF396" s="98"/>
      <c r="BG396" s="98"/>
      <c r="BH396" s="98"/>
      <c r="BI396" s="98"/>
      <c r="BJ396" s="98"/>
      <c r="BK396" s="98"/>
      <c r="BL396" s="98"/>
      <c r="BM396" s="57"/>
    </row>
    <row r="397" spans="1:65" ht="11.25" x14ac:dyDescent="0.2">
      <c r="A397" s="57"/>
      <c r="B397" s="57"/>
      <c r="C397" s="57"/>
      <c r="D397" s="57"/>
      <c r="E397" s="57"/>
      <c r="F397" s="57"/>
      <c r="G397" s="57"/>
      <c r="H397" s="57"/>
      <c r="I397" s="57"/>
      <c r="J397" s="57"/>
      <c r="L397" s="57"/>
      <c r="M397" s="57"/>
      <c r="N397" s="57"/>
      <c r="O397" s="57"/>
      <c r="P397" s="57"/>
      <c r="Q397" s="57"/>
      <c r="R397" s="57"/>
      <c r="S397" s="57"/>
      <c r="T397" s="57"/>
      <c r="U397" s="57"/>
      <c r="V397" s="57"/>
      <c r="W397" s="57"/>
      <c r="X397" s="57"/>
      <c r="Y397" s="98"/>
      <c r="AA397" s="98"/>
      <c r="AR397" s="98"/>
      <c r="AS397" s="57"/>
      <c r="AU397" s="57"/>
      <c r="BF397" s="98"/>
      <c r="BG397" s="98"/>
      <c r="BH397" s="98"/>
      <c r="BI397" s="98"/>
      <c r="BJ397" s="98"/>
      <c r="BK397" s="98"/>
      <c r="BL397" s="98"/>
      <c r="BM397" s="57"/>
    </row>
    <row r="398" spans="1:65" ht="11.25" x14ac:dyDescent="0.2">
      <c r="A398" s="57"/>
      <c r="B398" s="57"/>
      <c r="C398" s="57"/>
      <c r="D398" s="57"/>
      <c r="E398" s="57"/>
      <c r="F398" s="57"/>
      <c r="G398" s="57"/>
      <c r="H398" s="57"/>
      <c r="I398" s="57"/>
      <c r="J398" s="57"/>
      <c r="L398" s="57"/>
      <c r="M398" s="57"/>
      <c r="N398" s="57"/>
      <c r="O398" s="57"/>
      <c r="P398" s="57"/>
      <c r="Q398" s="57"/>
      <c r="R398" s="57"/>
      <c r="S398" s="57"/>
      <c r="T398" s="57"/>
      <c r="U398" s="57"/>
      <c r="V398" s="57"/>
      <c r="W398" s="57"/>
      <c r="X398" s="57"/>
      <c r="Y398" s="98"/>
      <c r="AA398" s="98"/>
      <c r="AR398" s="98"/>
      <c r="AS398" s="57"/>
      <c r="AU398" s="57"/>
      <c r="BF398" s="98"/>
      <c r="BG398" s="98"/>
      <c r="BH398" s="98"/>
      <c r="BI398" s="98"/>
      <c r="BJ398" s="98"/>
      <c r="BK398" s="98"/>
      <c r="BL398" s="98"/>
      <c r="BM398" s="57"/>
    </row>
    <row r="399" spans="1:65" ht="11.25" x14ac:dyDescent="0.2">
      <c r="A399" s="57"/>
      <c r="B399" s="57"/>
      <c r="C399" s="57"/>
      <c r="D399" s="57"/>
      <c r="E399" s="57"/>
      <c r="F399" s="57"/>
      <c r="G399" s="57"/>
      <c r="H399" s="57"/>
      <c r="I399" s="57"/>
      <c r="J399" s="57"/>
      <c r="L399" s="57"/>
      <c r="M399" s="57"/>
      <c r="N399" s="57"/>
      <c r="O399" s="57"/>
      <c r="P399" s="57"/>
      <c r="Q399" s="57"/>
      <c r="R399" s="57"/>
      <c r="S399" s="57"/>
      <c r="T399" s="57"/>
      <c r="U399" s="57"/>
      <c r="V399" s="57"/>
      <c r="W399" s="57"/>
      <c r="X399" s="57"/>
      <c r="Y399" s="98"/>
      <c r="AA399" s="98"/>
      <c r="AR399" s="98"/>
      <c r="AS399" s="57"/>
      <c r="AU399" s="57"/>
      <c r="BF399" s="98"/>
      <c r="BG399" s="98"/>
      <c r="BH399" s="98"/>
      <c r="BI399" s="98"/>
      <c r="BJ399" s="98"/>
      <c r="BK399" s="98"/>
      <c r="BL399" s="98"/>
      <c r="BM399" s="57"/>
    </row>
    <row r="400" spans="1:65" ht="11.25" x14ac:dyDescent="0.2">
      <c r="A400" s="57"/>
      <c r="B400" s="57"/>
      <c r="C400" s="57"/>
      <c r="D400" s="57"/>
      <c r="E400" s="57"/>
      <c r="F400" s="57"/>
      <c r="G400" s="57"/>
      <c r="H400" s="57"/>
      <c r="I400" s="57"/>
      <c r="J400" s="57"/>
      <c r="L400" s="57"/>
      <c r="M400" s="57"/>
      <c r="N400" s="57"/>
      <c r="O400" s="57"/>
      <c r="P400" s="57"/>
      <c r="Q400" s="57"/>
      <c r="R400" s="57"/>
      <c r="S400" s="57"/>
      <c r="T400" s="57"/>
      <c r="U400" s="57"/>
      <c r="V400" s="57"/>
      <c r="W400" s="57"/>
      <c r="X400" s="57"/>
      <c r="Y400" s="98"/>
      <c r="AA400" s="98"/>
      <c r="AR400" s="98"/>
      <c r="AS400" s="57"/>
      <c r="AU400" s="57"/>
      <c r="BF400" s="98"/>
      <c r="BG400" s="98"/>
      <c r="BH400" s="98"/>
      <c r="BI400" s="98"/>
      <c r="BJ400" s="98"/>
      <c r="BK400" s="98"/>
      <c r="BL400" s="98"/>
      <c r="BM400" s="57"/>
    </row>
    <row r="401" spans="1:65" ht="11.25" x14ac:dyDescent="0.2">
      <c r="A401" s="57"/>
      <c r="B401" s="57"/>
      <c r="C401" s="57"/>
      <c r="D401" s="57"/>
      <c r="E401" s="57"/>
      <c r="F401" s="57"/>
      <c r="G401" s="57"/>
      <c r="H401" s="57"/>
      <c r="I401" s="57"/>
      <c r="J401" s="57"/>
      <c r="L401" s="57"/>
      <c r="M401" s="57"/>
      <c r="N401" s="57"/>
      <c r="O401" s="57"/>
      <c r="P401" s="57"/>
      <c r="Q401" s="57"/>
      <c r="R401" s="57"/>
      <c r="S401" s="57"/>
      <c r="T401" s="57"/>
      <c r="U401" s="57"/>
      <c r="V401" s="57"/>
      <c r="W401" s="57"/>
      <c r="X401" s="57"/>
      <c r="Y401" s="98"/>
      <c r="AA401" s="98"/>
      <c r="AR401" s="98"/>
      <c r="AS401" s="57"/>
      <c r="AU401" s="57"/>
      <c r="BF401" s="98"/>
      <c r="BG401" s="98"/>
      <c r="BH401" s="98"/>
      <c r="BI401" s="98"/>
      <c r="BJ401" s="98"/>
      <c r="BK401" s="98"/>
      <c r="BL401" s="98"/>
      <c r="BM401" s="57"/>
    </row>
    <row r="402" spans="1:65" ht="11.25" x14ac:dyDescent="0.2">
      <c r="A402" s="57"/>
      <c r="B402" s="57"/>
      <c r="C402" s="57"/>
      <c r="D402" s="57"/>
      <c r="E402" s="57"/>
      <c r="F402" s="57"/>
      <c r="G402" s="57"/>
      <c r="H402" s="57"/>
      <c r="I402" s="57"/>
      <c r="J402" s="57"/>
      <c r="L402" s="57"/>
      <c r="M402" s="57"/>
      <c r="N402" s="57"/>
      <c r="O402" s="57"/>
      <c r="P402" s="57"/>
      <c r="Q402" s="57"/>
      <c r="R402" s="57"/>
      <c r="S402" s="57"/>
      <c r="T402" s="57"/>
      <c r="U402" s="57"/>
      <c r="V402" s="57"/>
      <c r="W402" s="57"/>
      <c r="X402" s="57"/>
      <c r="Y402" s="98"/>
      <c r="AA402" s="98"/>
      <c r="AR402" s="98"/>
      <c r="AS402" s="57"/>
      <c r="AU402" s="57"/>
      <c r="BF402" s="98"/>
      <c r="BG402" s="98"/>
      <c r="BH402" s="98"/>
      <c r="BI402" s="98"/>
      <c r="BJ402" s="98"/>
      <c r="BK402" s="98"/>
      <c r="BL402" s="98"/>
      <c r="BM402" s="57"/>
    </row>
    <row r="403" spans="1:65" ht="11.25" x14ac:dyDescent="0.2">
      <c r="A403" s="57"/>
      <c r="B403" s="57"/>
      <c r="C403" s="57"/>
      <c r="D403" s="57"/>
      <c r="E403" s="57"/>
      <c r="F403" s="57"/>
      <c r="G403" s="57"/>
      <c r="H403" s="57"/>
      <c r="I403" s="57"/>
      <c r="J403" s="57"/>
      <c r="L403" s="57"/>
      <c r="M403" s="57"/>
      <c r="N403" s="57"/>
      <c r="O403" s="57"/>
      <c r="P403" s="57"/>
      <c r="Q403" s="57"/>
      <c r="R403" s="57"/>
      <c r="S403" s="57"/>
      <c r="T403" s="57"/>
      <c r="U403" s="57"/>
      <c r="V403" s="57"/>
      <c r="W403" s="57"/>
      <c r="X403" s="57"/>
      <c r="Y403" s="98"/>
      <c r="AA403" s="98"/>
      <c r="AR403" s="98"/>
      <c r="AS403" s="57"/>
      <c r="AU403" s="57"/>
      <c r="BF403" s="98"/>
      <c r="BG403" s="98"/>
      <c r="BH403" s="98"/>
      <c r="BI403" s="98"/>
      <c r="BJ403" s="98"/>
      <c r="BK403" s="98"/>
      <c r="BL403" s="98"/>
      <c r="BM403" s="57"/>
    </row>
    <row r="404" spans="1:65" ht="11.25" x14ac:dyDescent="0.2">
      <c r="A404" s="57"/>
      <c r="B404" s="57"/>
      <c r="C404" s="57"/>
      <c r="D404" s="57"/>
      <c r="E404" s="57"/>
      <c r="F404" s="57"/>
      <c r="G404" s="57"/>
      <c r="H404" s="57"/>
      <c r="I404" s="57"/>
      <c r="J404" s="57"/>
      <c r="L404" s="57"/>
      <c r="M404" s="57"/>
      <c r="N404" s="57"/>
      <c r="O404" s="57"/>
      <c r="P404" s="57"/>
      <c r="Q404" s="57"/>
      <c r="R404" s="57"/>
      <c r="S404" s="57"/>
      <c r="T404" s="57"/>
      <c r="U404" s="57"/>
      <c r="V404" s="57"/>
      <c r="W404" s="57"/>
      <c r="X404" s="57"/>
      <c r="Y404" s="98"/>
      <c r="AA404" s="98"/>
      <c r="AR404" s="98"/>
      <c r="AS404" s="57"/>
      <c r="AU404" s="57"/>
      <c r="BF404" s="98"/>
      <c r="BG404" s="98"/>
      <c r="BH404" s="98"/>
      <c r="BI404" s="98"/>
      <c r="BJ404" s="98"/>
      <c r="BK404" s="98"/>
      <c r="BL404" s="98"/>
      <c r="BM404" s="57"/>
    </row>
    <row r="405" spans="1:65" ht="11.25" x14ac:dyDescent="0.2">
      <c r="A405" s="57"/>
      <c r="B405" s="57"/>
      <c r="C405" s="57"/>
      <c r="D405" s="57"/>
      <c r="E405" s="57"/>
      <c r="F405" s="57"/>
      <c r="G405" s="57"/>
      <c r="H405" s="57"/>
      <c r="I405" s="57"/>
      <c r="J405" s="57"/>
      <c r="L405" s="57"/>
      <c r="M405" s="57"/>
      <c r="N405" s="57"/>
      <c r="O405" s="57"/>
      <c r="P405" s="57"/>
      <c r="Q405" s="57"/>
      <c r="R405" s="57"/>
      <c r="S405" s="57"/>
      <c r="T405" s="57"/>
      <c r="U405" s="57"/>
      <c r="V405" s="57"/>
      <c r="W405" s="57"/>
      <c r="X405" s="57"/>
      <c r="Y405" s="98"/>
      <c r="AA405" s="98"/>
      <c r="AR405" s="98"/>
      <c r="AS405" s="57"/>
      <c r="AU405" s="57"/>
      <c r="BF405" s="98"/>
      <c r="BG405" s="98"/>
      <c r="BH405" s="98"/>
      <c r="BI405" s="98"/>
      <c r="BJ405" s="98"/>
      <c r="BK405" s="98"/>
      <c r="BL405" s="98"/>
      <c r="BM405" s="57"/>
    </row>
    <row r="406" spans="1:65" ht="11.25" x14ac:dyDescent="0.2">
      <c r="A406" s="57"/>
      <c r="B406" s="57"/>
      <c r="C406" s="57"/>
      <c r="D406" s="57"/>
      <c r="E406" s="57"/>
      <c r="F406" s="57"/>
      <c r="G406" s="57"/>
      <c r="H406" s="57"/>
      <c r="I406" s="57"/>
      <c r="J406" s="57"/>
      <c r="L406" s="57"/>
      <c r="M406" s="57"/>
      <c r="N406" s="57"/>
      <c r="O406" s="57"/>
      <c r="P406" s="57"/>
      <c r="Q406" s="57"/>
      <c r="R406" s="57"/>
      <c r="S406" s="57"/>
      <c r="T406" s="57"/>
      <c r="U406" s="57"/>
      <c r="V406" s="57"/>
      <c r="W406" s="57"/>
      <c r="X406" s="57"/>
      <c r="Y406" s="98"/>
      <c r="AA406" s="98"/>
      <c r="AR406" s="98"/>
      <c r="AS406" s="57"/>
      <c r="AU406" s="57"/>
      <c r="BF406" s="98"/>
      <c r="BG406" s="98"/>
      <c r="BH406" s="98"/>
      <c r="BI406" s="98"/>
      <c r="BJ406" s="98"/>
      <c r="BK406" s="98"/>
      <c r="BL406" s="98"/>
      <c r="BM406" s="57"/>
    </row>
    <row r="407" spans="1:65" ht="11.25" x14ac:dyDescent="0.2">
      <c r="A407" s="57"/>
      <c r="B407" s="57"/>
      <c r="C407" s="57"/>
      <c r="D407" s="57"/>
      <c r="E407" s="57"/>
      <c r="F407" s="57"/>
      <c r="G407" s="57"/>
      <c r="H407" s="57"/>
      <c r="I407" s="57"/>
      <c r="J407" s="57"/>
      <c r="L407" s="57"/>
      <c r="M407" s="57"/>
      <c r="N407" s="57"/>
      <c r="O407" s="57"/>
      <c r="P407" s="57"/>
      <c r="Q407" s="57"/>
      <c r="R407" s="57"/>
      <c r="S407" s="57"/>
      <c r="T407" s="57"/>
      <c r="U407" s="57"/>
      <c r="V407" s="57"/>
      <c r="W407" s="57"/>
      <c r="X407" s="57"/>
      <c r="Y407" s="98"/>
      <c r="AA407" s="98"/>
      <c r="AR407" s="98"/>
      <c r="AS407" s="57"/>
      <c r="AU407" s="57"/>
      <c r="BF407" s="98"/>
      <c r="BG407" s="98"/>
      <c r="BH407" s="98"/>
      <c r="BI407" s="98"/>
      <c r="BJ407" s="98"/>
      <c r="BK407" s="98"/>
      <c r="BL407" s="98"/>
      <c r="BM407" s="57"/>
    </row>
    <row r="408" spans="1:65" ht="11.25" x14ac:dyDescent="0.2">
      <c r="A408" s="57"/>
      <c r="B408" s="57"/>
      <c r="C408" s="57"/>
      <c r="D408" s="57"/>
      <c r="E408" s="57"/>
      <c r="F408" s="57"/>
      <c r="G408" s="57"/>
      <c r="H408" s="57"/>
      <c r="I408" s="57"/>
      <c r="J408" s="57"/>
      <c r="L408" s="57"/>
      <c r="M408" s="57"/>
      <c r="N408" s="57"/>
      <c r="O408" s="57"/>
      <c r="P408" s="57"/>
      <c r="Q408" s="57"/>
      <c r="R408" s="57"/>
      <c r="S408" s="57"/>
      <c r="T408" s="57"/>
      <c r="U408" s="57"/>
      <c r="V408" s="57"/>
      <c r="W408" s="57"/>
      <c r="X408" s="57"/>
      <c r="Y408" s="98"/>
      <c r="AA408" s="98"/>
      <c r="AR408" s="98"/>
      <c r="AS408" s="57"/>
      <c r="AU408" s="57"/>
      <c r="BF408" s="98"/>
      <c r="BG408" s="98"/>
      <c r="BH408" s="98"/>
      <c r="BI408" s="98"/>
      <c r="BJ408" s="98"/>
      <c r="BK408" s="98"/>
      <c r="BL408" s="98"/>
      <c r="BM408" s="57"/>
    </row>
    <row r="409" spans="1:65" ht="11.25" x14ac:dyDescent="0.2">
      <c r="A409" s="57"/>
      <c r="B409" s="57"/>
      <c r="C409" s="57"/>
      <c r="D409" s="57"/>
      <c r="E409" s="57"/>
      <c r="F409" s="57"/>
      <c r="G409" s="57"/>
      <c r="H409" s="57"/>
      <c r="I409" s="57"/>
      <c r="J409" s="57"/>
      <c r="L409" s="57"/>
      <c r="M409" s="57"/>
      <c r="N409" s="57"/>
      <c r="O409" s="57"/>
      <c r="P409" s="57"/>
      <c r="Q409" s="57"/>
      <c r="R409" s="57"/>
      <c r="S409" s="57"/>
      <c r="T409" s="57"/>
      <c r="U409" s="57"/>
      <c r="V409" s="57"/>
      <c r="W409" s="57"/>
      <c r="X409" s="57"/>
      <c r="Y409" s="98"/>
      <c r="AA409" s="98"/>
      <c r="AR409" s="98"/>
      <c r="AS409" s="57"/>
      <c r="AU409" s="57"/>
      <c r="BF409" s="98"/>
      <c r="BG409" s="98"/>
      <c r="BH409" s="98"/>
      <c r="BI409" s="98"/>
      <c r="BJ409" s="98"/>
      <c r="BK409" s="98"/>
      <c r="BL409" s="98"/>
      <c r="BM409" s="57"/>
    </row>
    <row r="410" spans="1:65" ht="11.25" x14ac:dyDescent="0.2">
      <c r="A410" s="57"/>
      <c r="B410" s="57"/>
      <c r="C410" s="57"/>
      <c r="D410" s="57"/>
      <c r="E410" s="57"/>
      <c r="F410" s="57"/>
      <c r="G410" s="57"/>
      <c r="H410" s="57"/>
      <c r="I410" s="57"/>
      <c r="J410" s="57"/>
      <c r="L410" s="57"/>
      <c r="M410" s="57"/>
      <c r="N410" s="57"/>
      <c r="O410" s="57"/>
      <c r="P410" s="57"/>
      <c r="Q410" s="57"/>
      <c r="R410" s="57"/>
      <c r="S410" s="57"/>
      <c r="T410" s="57"/>
      <c r="U410" s="57"/>
      <c r="V410" s="57"/>
      <c r="W410" s="57"/>
      <c r="X410" s="57"/>
      <c r="Y410" s="98"/>
      <c r="AA410" s="98"/>
      <c r="AR410" s="98"/>
      <c r="AS410" s="57"/>
      <c r="AU410" s="57"/>
      <c r="BF410" s="98"/>
      <c r="BG410" s="98"/>
      <c r="BH410" s="98"/>
      <c r="BI410" s="98"/>
      <c r="BJ410" s="98"/>
      <c r="BK410" s="98"/>
      <c r="BL410" s="98"/>
      <c r="BM410" s="57"/>
    </row>
    <row r="411" spans="1:65" ht="11.25" x14ac:dyDescent="0.2">
      <c r="A411" s="57"/>
      <c r="B411" s="57"/>
      <c r="C411" s="57"/>
      <c r="D411" s="57"/>
      <c r="E411" s="57"/>
      <c r="F411" s="57"/>
      <c r="G411" s="57"/>
      <c r="H411" s="57"/>
      <c r="I411" s="57"/>
      <c r="J411" s="57"/>
      <c r="L411" s="57"/>
      <c r="M411" s="57"/>
      <c r="N411" s="57"/>
      <c r="O411" s="57"/>
      <c r="P411" s="57"/>
      <c r="Q411" s="57"/>
      <c r="R411" s="57"/>
      <c r="S411" s="57"/>
      <c r="T411" s="57"/>
      <c r="U411" s="57"/>
      <c r="V411" s="57"/>
      <c r="W411" s="57"/>
      <c r="X411" s="57"/>
      <c r="Y411" s="98"/>
      <c r="AA411" s="98"/>
      <c r="AR411" s="98"/>
      <c r="AS411" s="57"/>
      <c r="AU411" s="57"/>
      <c r="BF411" s="98"/>
      <c r="BG411" s="98"/>
      <c r="BH411" s="98"/>
      <c r="BI411" s="98"/>
      <c r="BJ411" s="98"/>
      <c r="BK411" s="98"/>
      <c r="BL411" s="98"/>
      <c r="BM411" s="57"/>
    </row>
    <row r="412" spans="1:65" ht="11.25" x14ac:dyDescent="0.2">
      <c r="A412" s="57"/>
      <c r="B412" s="57"/>
      <c r="C412" s="57"/>
      <c r="D412" s="57"/>
      <c r="E412" s="57"/>
      <c r="F412" s="57"/>
      <c r="G412" s="57"/>
      <c r="H412" s="57"/>
      <c r="I412" s="57"/>
      <c r="J412" s="57"/>
      <c r="L412" s="57"/>
      <c r="M412" s="57"/>
      <c r="N412" s="57"/>
      <c r="O412" s="57"/>
      <c r="P412" s="57"/>
      <c r="Q412" s="57"/>
      <c r="R412" s="57"/>
      <c r="S412" s="57"/>
      <c r="T412" s="57"/>
      <c r="U412" s="57"/>
      <c r="V412" s="57"/>
      <c r="W412" s="57"/>
      <c r="X412" s="57"/>
      <c r="Y412" s="98"/>
      <c r="AA412" s="98"/>
      <c r="AR412" s="98"/>
      <c r="AS412" s="57"/>
      <c r="AU412" s="57"/>
      <c r="BF412" s="98"/>
      <c r="BG412" s="98"/>
      <c r="BH412" s="98"/>
      <c r="BI412" s="98"/>
      <c r="BJ412" s="98"/>
      <c r="BK412" s="98"/>
      <c r="BL412" s="98"/>
      <c r="BM412" s="57"/>
    </row>
    <row r="413" spans="1:65" ht="11.25" x14ac:dyDescent="0.2">
      <c r="A413" s="57"/>
      <c r="B413" s="57"/>
      <c r="C413" s="57"/>
      <c r="D413" s="57"/>
      <c r="E413" s="57"/>
      <c r="F413" s="57"/>
      <c r="G413" s="57"/>
      <c r="H413" s="57"/>
      <c r="I413" s="57"/>
      <c r="J413" s="57"/>
      <c r="L413" s="57"/>
      <c r="M413" s="57"/>
      <c r="N413" s="57"/>
      <c r="O413" s="57"/>
      <c r="P413" s="57"/>
      <c r="Q413" s="57"/>
      <c r="R413" s="57"/>
      <c r="S413" s="57"/>
      <c r="T413" s="57"/>
      <c r="U413" s="57"/>
      <c r="V413" s="57"/>
      <c r="W413" s="57"/>
      <c r="X413" s="57"/>
      <c r="Y413" s="98"/>
      <c r="AA413" s="98"/>
      <c r="AR413" s="98"/>
      <c r="AS413" s="57"/>
      <c r="AU413" s="57"/>
      <c r="BF413" s="98"/>
      <c r="BG413" s="98"/>
      <c r="BH413" s="98"/>
      <c r="BI413" s="98"/>
      <c r="BJ413" s="98"/>
      <c r="BK413" s="98"/>
      <c r="BL413" s="98"/>
      <c r="BM413" s="57"/>
    </row>
    <row r="414" spans="1:65" ht="11.25" x14ac:dyDescent="0.2">
      <c r="A414" s="57"/>
      <c r="B414" s="57"/>
      <c r="C414" s="57"/>
      <c r="D414" s="57"/>
      <c r="E414" s="57"/>
      <c r="F414" s="57"/>
      <c r="G414" s="57"/>
      <c r="H414" s="57"/>
      <c r="I414" s="57"/>
      <c r="J414" s="57"/>
      <c r="L414" s="57"/>
      <c r="M414" s="57"/>
      <c r="N414" s="57"/>
      <c r="O414" s="57"/>
      <c r="P414" s="57"/>
      <c r="Q414" s="57"/>
      <c r="R414" s="57"/>
      <c r="S414" s="57"/>
      <c r="T414" s="57"/>
      <c r="U414" s="57"/>
      <c r="V414" s="57"/>
      <c r="W414" s="57"/>
      <c r="X414" s="57"/>
      <c r="Y414" s="98"/>
      <c r="AA414" s="98"/>
      <c r="AR414" s="98"/>
      <c r="AS414" s="57"/>
      <c r="AU414" s="57"/>
      <c r="BF414" s="98"/>
      <c r="BG414" s="98"/>
      <c r="BH414" s="98"/>
      <c r="BI414" s="98"/>
      <c r="BJ414" s="98"/>
      <c r="BK414" s="98"/>
      <c r="BL414" s="98"/>
      <c r="BM414" s="57"/>
    </row>
    <row r="415" spans="1:65" ht="11.25" x14ac:dyDescent="0.2">
      <c r="A415" s="57"/>
      <c r="B415" s="57"/>
      <c r="C415" s="57"/>
      <c r="D415" s="57"/>
      <c r="E415" s="57"/>
      <c r="F415" s="57"/>
      <c r="G415" s="57"/>
      <c r="H415" s="57"/>
      <c r="I415" s="57"/>
      <c r="J415" s="57"/>
      <c r="L415" s="57"/>
      <c r="M415" s="57"/>
      <c r="N415" s="57"/>
      <c r="O415" s="57"/>
      <c r="P415" s="57"/>
      <c r="Q415" s="57"/>
      <c r="R415" s="57"/>
      <c r="S415" s="57"/>
      <c r="T415" s="57"/>
      <c r="U415" s="57"/>
      <c r="V415" s="57"/>
      <c r="W415" s="57"/>
      <c r="X415" s="57"/>
      <c r="Y415" s="98"/>
      <c r="AA415" s="98"/>
      <c r="AR415" s="98"/>
      <c r="AS415" s="57"/>
      <c r="AU415" s="57"/>
      <c r="BF415" s="98"/>
      <c r="BG415" s="98"/>
      <c r="BH415" s="98"/>
      <c r="BI415" s="98"/>
      <c r="BJ415" s="98"/>
      <c r="BK415" s="98"/>
      <c r="BL415" s="98"/>
      <c r="BM415" s="57"/>
    </row>
    <row r="416" spans="1:65" ht="11.25" x14ac:dyDescent="0.2">
      <c r="A416" s="57"/>
      <c r="B416" s="57"/>
      <c r="C416" s="57"/>
      <c r="D416" s="57"/>
      <c r="E416" s="57"/>
      <c r="F416" s="57"/>
      <c r="G416" s="57"/>
      <c r="H416" s="57"/>
      <c r="I416" s="57"/>
      <c r="J416" s="57"/>
      <c r="L416" s="57"/>
      <c r="M416" s="57"/>
      <c r="N416" s="57"/>
      <c r="O416" s="57"/>
      <c r="P416" s="57"/>
      <c r="Q416" s="57"/>
      <c r="R416" s="57"/>
      <c r="S416" s="57"/>
      <c r="T416" s="57"/>
      <c r="U416" s="57"/>
      <c r="V416" s="57"/>
      <c r="W416" s="57"/>
      <c r="X416" s="57"/>
      <c r="Y416" s="98"/>
      <c r="AA416" s="98"/>
      <c r="AR416" s="98"/>
      <c r="AS416" s="57"/>
      <c r="AU416" s="57"/>
      <c r="BF416" s="98"/>
      <c r="BG416" s="98"/>
      <c r="BH416" s="98"/>
      <c r="BI416" s="98"/>
      <c r="BJ416" s="98"/>
      <c r="BK416" s="98"/>
      <c r="BL416" s="98"/>
      <c r="BM416" s="57"/>
    </row>
    <row r="417" spans="1:65" ht="11.25" x14ac:dyDescent="0.2">
      <c r="A417" s="57"/>
      <c r="B417" s="57"/>
      <c r="C417" s="57"/>
      <c r="D417" s="57"/>
      <c r="E417" s="57"/>
      <c r="F417" s="57"/>
      <c r="G417" s="57"/>
      <c r="H417" s="57"/>
      <c r="I417" s="57"/>
      <c r="J417" s="57"/>
      <c r="L417" s="57"/>
      <c r="M417" s="57"/>
      <c r="N417" s="57"/>
      <c r="O417" s="57"/>
      <c r="P417" s="57"/>
      <c r="Q417" s="57"/>
      <c r="R417" s="57"/>
      <c r="S417" s="57"/>
      <c r="T417" s="57"/>
      <c r="U417" s="57"/>
      <c r="V417" s="57"/>
      <c r="W417" s="57"/>
      <c r="X417" s="57"/>
      <c r="Y417" s="98"/>
      <c r="AA417" s="98"/>
      <c r="AR417" s="98"/>
      <c r="AS417" s="57"/>
      <c r="AU417" s="57"/>
      <c r="BF417" s="98"/>
      <c r="BG417" s="98"/>
      <c r="BH417" s="98"/>
      <c r="BI417" s="98"/>
      <c r="BJ417" s="98"/>
      <c r="BK417" s="98"/>
      <c r="BL417" s="98"/>
      <c r="BM417" s="57"/>
    </row>
    <row r="418" spans="1:65" ht="11.25" x14ac:dyDescent="0.2">
      <c r="A418" s="57"/>
      <c r="B418" s="57"/>
      <c r="C418" s="57"/>
      <c r="D418" s="57"/>
      <c r="E418" s="57"/>
      <c r="F418" s="57"/>
      <c r="G418" s="57"/>
      <c r="H418" s="57"/>
      <c r="I418" s="57"/>
      <c r="J418" s="57"/>
      <c r="L418" s="57"/>
      <c r="M418" s="57"/>
      <c r="N418" s="57"/>
      <c r="O418" s="57"/>
      <c r="P418" s="57"/>
      <c r="Q418" s="57"/>
      <c r="R418" s="57"/>
      <c r="S418" s="57"/>
      <c r="T418" s="57"/>
      <c r="U418" s="57"/>
      <c r="V418" s="57"/>
      <c r="W418" s="57"/>
      <c r="X418" s="57"/>
      <c r="Y418" s="98"/>
      <c r="AA418" s="98"/>
      <c r="AR418" s="98"/>
      <c r="AS418" s="57"/>
      <c r="AU418" s="57"/>
      <c r="BF418" s="98"/>
      <c r="BG418" s="98"/>
      <c r="BH418" s="98"/>
      <c r="BI418" s="98"/>
      <c r="BJ418" s="98"/>
      <c r="BK418" s="98"/>
      <c r="BL418" s="98"/>
      <c r="BM418" s="57"/>
    </row>
    <row r="419" spans="1:65" ht="11.25" x14ac:dyDescent="0.2">
      <c r="A419" s="57"/>
      <c r="B419" s="57"/>
      <c r="C419" s="57"/>
      <c r="D419" s="57"/>
      <c r="E419" s="57"/>
      <c r="F419" s="57"/>
      <c r="G419" s="57"/>
      <c r="H419" s="57"/>
      <c r="I419" s="57"/>
      <c r="J419" s="57"/>
      <c r="L419" s="57"/>
      <c r="M419" s="57"/>
      <c r="N419" s="57"/>
      <c r="O419" s="57"/>
      <c r="P419" s="57"/>
      <c r="Q419" s="57"/>
      <c r="R419" s="57"/>
      <c r="S419" s="57"/>
      <c r="T419" s="57"/>
      <c r="U419" s="57"/>
      <c r="V419" s="57"/>
      <c r="W419" s="57"/>
      <c r="X419" s="57"/>
      <c r="Y419" s="98"/>
      <c r="AA419" s="98"/>
      <c r="AR419" s="98"/>
      <c r="AS419" s="57"/>
      <c r="AU419" s="57"/>
      <c r="BF419" s="98"/>
      <c r="BG419" s="98"/>
      <c r="BH419" s="98"/>
      <c r="BI419" s="98"/>
      <c r="BJ419" s="98"/>
      <c r="BK419" s="98"/>
      <c r="BL419" s="98"/>
      <c r="BM419" s="57"/>
    </row>
    <row r="420" spans="1:65" ht="11.25" x14ac:dyDescent="0.2">
      <c r="A420" s="57"/>
      <c r="B420" s="57"/>
      <c r="C420" s="57"/>
      <c r="D420" s="57"/>
      <c r="E420" s="57"/>
      <c r="F420" s="57"/>
      <c r="G420" s="57"/>
      <c r="H420" s="57"/>
      <c r="I420" s="57"/>
      <c r="J420" s="57"/>
      <c r="L420" s="57"/>
      <c r="M420" s="57"/>
      <c r="N420" s="57"/>
      <c r="O420" s="57"/>
      <c r="P420" s="57"/>
      <c r="Q420" s="57"/>
      <c r="R420" s="57"/>
      <c r="S420" s="57"/>
      <c r="T420" s="57"/>
      <c r="U420" s="57"/>
      <c r="V420" s="57"/>
      <c r="W420" s="57"/>
      <c r="X420" s="57"/>
      <c r="Y420" s="98"/>
      <c r="AA420" s="98"/>
      <c r="AR420" s="98"/>
      <c r="AS420" s="57"/>
      <c r="AU420" s="57"/>
      <c r="BF420" s="98"/>
      <c r="BG420" s="98"/>
      <c r="BH420" s="98"/>
      <c r="BI420" s="98"/>
      <c r="BJ420" s="98"/>
      <c r="BK420" s="98"/>
      <c r="BL420" s="98"/>
      <c r="BM420" s="57"/>
    </row>
    <row r="421" spans="1:65" ht="11.25" x14ac:dyDescent="0.2">
      <c r="A421" s="57"/>
      <c r="B421" s="57"/>
      <c r="C421" s="57"/>
      <c r="D421" s="57"/>
      <c r="E421" s="57"/>
      <c r="F421" s="57"/>
      <c r="G421" s="57"/>
      <c r="H421" s="57"/>
      <c r="I421" s="57"/>
      <c r="J421" s="57"/>
      <c r="L421" s="57"/>
      <c r="M421" s="57"/>
      <c r="N421" s="57"/>
      <c r="O421" s="57"/>
      <c r="P421" s="57"/>
      <c r="Q421" s="57"/>
      <c r="R421" s="57"/>
      <c r="S421" s="57"/>
      <c r="T421" s="57"/>
      <c r="U421" s="57"/>
      <c r="V421" s="57"/>
      <c r="W421" s="57"/>
      <c r="X421" s="57"/>
      <c r="Y421" s="98"/>
      <c r="AA421" s="98"/>
      <c r="AR421" s="98"/>
      <c r="AS421" s="57"/>
      <c r="AU421" s="57"/>
      <c r="BF421" s="98"/>
      <c r="BG421" s="98"/>
      <c r="BH421" s="98"/>
      <c r="BI421" s="98"/>
      <c r="BJ421" s="98"/>
      <c r="BK421" s="98"/>
      <c r="BL421" s="98"/>
      <c r="BM421" s="57"/>
    </row>
    <row r="422" spans="1:65" ht="11.25" x14ac:dyDescent="0.2">
      <c r="A422" s="57"/>
      <c r="B422" s="57"/>
      <c r="C422" s="57"/>
      <c r="D422" s="57"/>
      <c r="E422" s="57"/>
      <c r="F422" s="57"/>
      <c r="G422" s="57"/>
      <c r="H422" s="57"/>
      <c r="I422" s="57"/>
      <c r="J422" s="57"/>
      <c r="L422" s="57"/>
      <c r="M422" s="57"/>
      <c r="N422" s="57"/>
      <c r="O422" s="57"/>
      <c r="P422" s="57"/>
      <c r="Q422" s="57"/>
      <c r="R422" s="57"/>
      <c r="S422" s="57"/>
      <c r="T422" s="57"/>
      <c r="U422" s="57"/>
      <c r="V422" s="57"/>
      <c r="W422" s="57"/>
      <c r="X422" s="57"/>
      <c r="Y422" s="98"/>
      <c r="AA422" s="98"/>
      <c r="AR422" s="98"/>
      <c r="AS422" s="57"/>
      <c r="AU422" s="57"/>
      <c r="BF422" s="98"/>
      <c r="BG422" s="98"/>
      <c r="BH422" s="98"/>
      <c r="BI422" s="98"/>
      <c r="BJ422" s="98"/>
      <c r="BK422" s="98"/>
      <c r="BL422" s="98"/>
      <c r="BM422" s="57"/>
    </row>
    <row r="423" spans="1:65" ht="11.25" x14ac:dyDescent="0.2">
      <c r="A423" s="57"/>
      <c r="B423" s="57"/>
      <c r="C423" s="57"/>
      <c r="D423" s="57"/>
      <c r="E423" s="57"/>
      <c r="F423" s="57"/>
      <c r="G423" s="57"/>
      <c r="H423" s="57"/>
      <c r="I423" s="57"/>
      <c r="J423" s="57"/>
      <c r="L423" s="57"/>
      <c r="M423" s="57"/>
      <c r="N423" s="57"/>
      <c r="O423" s="57"/>
      <c r="P423" s="57"/>
      <c r="Q423" s="57"/>
      <c r="R423" s="57"/>
      <c r="S423" s="57"/>
      <c r="T423" s="57"/>
      <c r="U423" s="57"/>
      <c r="V423" s="57"/>
      <c r="W423" s="57"/>
      <c r="X423" s="57"/>
      <c r="Y423" s="98"/>
      <c r="AA423" s="98"/>
      <c r="AR423" s="98"/>
      <c r="AS423" s="57"/>
      <c r="AU423" s="57"/>
      <c r="BF423" s="98"/>
      <c r="BG423" s="98"/>
      <c r="BH423" s="98"/>
      <c r="BI423" s="98"/>
      <c r="BJ423" s="98"/>
      <c r="BK423" s="98"/>
      <c r="BL423" s="98"/>
      <c r="BM423" s="57"/>
    </row>
    <row r="424" spans="1:65" ht="11.25" x14ac:dyDescent="0.2">
      <c r="A424" s="57"/>
      <c r="B424" s="57"/>
      <c r="C424" s="57"/>
      <c r="D424" s="57"/>
      <c r="E424" s="57"/>
      <c r="F424" s="57"/>
      <c r="G424" s="57"/>
      <c r="H424" s="57"/>
      <c r="I424" s="57"/>
      <c r="J424" s="57"/>
      <c r="L424" s="57"/>
      <c r="M424" s="57"/>
      <c r="N424" s="57"/>
      <c r="O424" s="57"/>
      <c r="P424" s="57"/>
      <c r="Q424" s="57"/>
      <c r="R424" s="57"/>
      <c r="S424" s="57"/>
      <c r="T424" s="57"/>
      <c r="U424" s="57"/>
      <c r="V424" s="57"/>
      <c r="W424" s="57"/>
      <c r="X424" s="57"/>
      <c r="Y424" s="98"/>
      <c r="AA424" s="98"/>
      <c r="AR424" s="98"/>
      <c r="AS424" s="57"/>
      <c r="AU424" s="57"/>
      <c r="BF424" s="98"/>
      <c r="BG424" s="98"/>
      <c r="BH424" s="98"/>
      <c r="BI424" s="98"/>
      <c r="BJ424" s="98"/>
      <c r="BK424" s="98"/>
      <c r="BL424" s="98"/>
      <c r="BM424" s="57"/>
    </row>
    <row r="425" spans="1:65" ht="11.25" x14ac:dyDescent="0.2">
      <c r="A425" s="57"/>
      <c r="B425" s="57"/>
      <c r="C425" s="57"/>
      <c r="D425" s="57"/>
      <c r="E425" s="57"/>
      <c r="F425" s="57"/>
      <c r="G425" s="57"/>
      <c r="H425" s="57"/>
      <c r="I425" s="57"/>
      <c r="J425" s="57"/>
      <c r="L425" s="57"/>
      <c r="M425" s="57"/>
      <c r="N425" s="57"/>
      <c r="O425" s="57"/>
      <c r="P425" s="57"/>
      <c r="Q425" s="57"/>
      <c r="R425" s="57"/>
      <c r="S425" s="57"/>
      <c r="T425" s="57"/>
      <c r="U425" s="57"/>
      <c r="V425" s="57"/>
      <c r="W425" s="57"/>
      <c r="X425" s="57"/>
      <c r="Y425" s="98"/>
      <c r="AA425" s="98"/>
      <c r="AR425" s="98"/>
      <c r="AS425" s="57"/>
      <c r="AU425" s="57"/>
      <c r="BF425" s="98"/>
      <c r="BG425" s="98"/>
      <c r="BH425" s="98"/>
      <c r="BI425" s="98"/>
      <c r="BJ425" s="98"/>
      <c r="BK425" s="98"/>
      <c r="BL425" s="98"/>
      <c r="BM425" s="57"/>
    </row>
    <row r="426" spans="1:65" ht="11.25" x14ac:dyDescent="0.2">
      <c r="A426" s="57"/>
      <c r="B426" s="57"/>
      <c r="C426" s="57"/>
      <c r="D426" s="57"/>
      <c r="E426" s="57"/>
      <c r="F426" s="57"/>
      <c r="G426" s="57"/>
      <c r="H426" s="57"/>
      <c r="I426" s="57"/>
      <c r="J426" s="57"/>
      <c r="L426" s="57"/>
      <c r="M426" s="57"/>
      <c r="N426" s="57"/>
      <c r="O426" s="57"/>
      <c r="P426" s="57"/>
      <c r="Q426" s="57"/>
      <c r="R426" s="57"/>
      <c r="S426" s="57"/>
      <c r="T426" s="57"/>
      <c r="U426" s="57"/>
      <c r="V426" s="57"/>
      <c r="W426" s="57"/>
      <c r="X426" s="57"/>
      <c r="Y426" s="98"/>
      <c r="AA426" s="98"/>
      <c r="AR426" s="98"/>
      <c r="AS426" s="57"/>
      <c r="AU426" s="57"/>
      <c r="BF426" s="98"/>
      <c r="BG426" s="98"/>
      <c r="BH426" s="98"/>
      <c r="BI426" s="98"/>
      <c r="BJ426" s="98"/>
      <c r="BK426" s="98"/>
      <c r="BL426" s="98"/>
      <c r="BM426" s="57"/>
    </row>
    <row r="427" spans="1:65" ht="11.25" x14ac:dyDescent="0.2">
      <c r="A427" s="57"/>
      <c r="B427" s="57"/>
      <c r="C427" s="57"/>
      <c r="D427" s="57"/>
      <c r="E427" s="57"/>
      <c r="F427" s="57"/>
      <c r="G427" s="57"/>
      <c r="H427" s="57"/>
      <c r="I427" s="57"/>
      <c r="J427" s="57"/>
      <c r="L427" s="57"/>
      <c r="M427" s="57"/>
      <c r="N427" s="57"/>
      <c r="O427" s="57"/>
      <c r="P427" s="57"/>
      <c r="Q427" s="57"/>
      <c r="R427" s="57"/>
      <c r="S427" s="57"/>
      <c r="T427" s="57"/>
      <c r="U427" s="57"/>
      <c r="V427" s="57"/>
      <c r="W427" s="57"/>
      <c r="X427" s="57"/>
      <c r="Y427" s="98"/>
      <c r="AA427" s="98"/>
      <c r="AR427" s="98"/>
      <c r="AS427" s="57"/>
      <c r="AU427" s="57"/>
      <c r="BF427" s="98"/>
      <c r="BG427" s="98"/>
      <c r="BH427" s="98"/>
      <c r="BI427" s="98"/>
      <c r="BJ427" s="98"/>
      <c r="BK427" s="98"/>
      <c r="BL427" s="98"/>
      <c r="BM427" s="57"/>
    </row>
    <row r="428" spans="1:65" ht="11.25" x14ac:dyDescent="0.2">
      <c r="A428" s="57"/>
      <c r="B428" s="57"/>
      <c r="C428" s="57"/>
      <c r="D428" s="57"/>
      <c r="E428" s="57"/>
      <c r="F428" s="57"/>
      <c r="G428" s="57"/>
      <c r="H428" s="57"/>
      <c r="I428" s="57"/>
      <c r="J428" s="57"/>
      <c r="L428" s="57"/>
      <c r="M428" s="57"/>
      <c r="N428" s="57"/>
      <c r="O428" s="57"/>
      <c r="P428" s="57"/>
      <c r="Q428" s="57"/>
      <c r="R428" s="57"/>
      <c r="S428" s="57"/>
      <c r="T428" s="57"/>
      <c r="U428" s="57"/>
      <c r="V428" s="57"/>
      <c r="W428" s="57"/>
      <c r="X428" s="57"/>
      <c r="Y428" s="98"/>
      <c r="AA428" s="98"/>
      <c r="AR428" s="98"/>
      <c r="AS428" s="57"/>
      <c r="AU428" s="57"/>
      <c r="BF428" s="98"/>
      <c r="BG428" s="98"/>
      <c r="BH428" s="98"/>
      <c r="BI428" s="98"/>
      <c r="BJ428" s="98"/>
      <c r="BK428" s="98"/>
      <c r="BL428" s="98"/>
      <c r="BM428" s="57"/>
    </row>
    <row r="429" spans="1:65" ht="11.25" x14ac:dyDescent="0.2">
      <c r="A429" s="57"/>
      <c r="B429" s="57"/>
      <c r="C429" s="57"/>
      <c r="D429" s="57"/>
      <c r="E429" s="57"/>
      <c r="F429" s="57"/>
      <c r="G429" s="57"/>
      <c r="H429" s="57"/>
      <c r="I429" s="57"/>
      <c r="J429" s="57"/>
      <c r="L429" s="57"/>
      <c r="M429" s="57"/>
      <c r="N429" s="57"/>
      <c r="O429" s="57"/>
      <c r="P429" s="57"/>
      <c r="Q429" s="57"/>
      <c r="R429" s="57"/>
      <c r="S429" s="57"/>
      <c r="T429" s="57"/>
      <c r="U429" s="57"/>
      <c r="V429" s="57"/>
      <c r="W429" s="57"/>
      <c r="X429" s="57"/>
      <c r="Y429" s="98"/>
      <c r="AA429" s="98"/>
      <c r="AR429" s="98"/>
      <c r="AS429" s="57"/>
      <c r="AU429" s="57"/>
      <c r="BF429" s="98"/>
      <c r="BG429" s="98"/>
      <c r="BH429" s="98"/>
      <c r="BI429" s="98"/>
      <c r="BJ429" s="98"/>
      <c r="BK429" s="98"/>
      <c r="BL429" s="98"/>
      <c r="BM429" s="57"/>
    </row>
    <row r="430" spans="1:65" ht="11.25" x14ac:dyDescent="0.2">
      <c r="A430" s="57"/>
      <c r="B430" s="57"/>
      <c r="C430" s="57"/>
      <c r="D430" s="57"/>
      <c r="E430" s="57"/>
      <c r="F430" s="57"/>
      <c r="G430" s="57"/>
      <c r="H430" s="57"/>
      <c r="I430" s="57"/>
      <c r="J430" s="57"/>
      <c r="L430" s="57"/>
      <c r="M430" s="57"/>
      <c r="N430" s="57"/>
      <c r="O430" s="57"/>
      <c r="P430" s="57"/>
      <c r="Q430" s="57"/>
      <c r="R430" s="57"/>
      <c r="S430" s="57"/>
      <c r="T430" s="57"/>
      <c r="U430" s="57"/>
      <c r="V430" s="57"/>
      <c r="W430" s="57"/>
      <c r="X430" s="57"/>
      <c r="Y430" s="98"/>
      <c r="AA430" s="98"/>
      <c r="AR430" s="98"/>
      <c r="AS430" s="57"/>
      <c r="AU430" s="57"/>
      <c r="BF430" s="98"/>
      <c r="BG430" s="98"/>
      <c r="BH430" s="98"/>
      <c r="BI430" s="98"/>
      <c r="BJ430" s="98"/>
      <c r="BK430" s="98"/>
      <c r="BL430" s="98"/>
      <c r="BM430" s="57"/>
    </row>
    <row r="431" spans="1:65" ht="11.25" x14ac:dyDescent="0.2">
      <c r="A431" s="57"/>
      <c r="B431" s="57"/>
      <c r="C431" s="57"/>
      <c r="D431" s="57"/>
      <c r="E431" s="57"/>
      <c r="F431" s="57"/>
      <c r="G431" s="57"/>
      <c r="H431" s="57"/>
      <c r="I431" s="57"/>
      <c r="J431" s="57"/>
      <c r="L431" s="57"/>
      <c r="M431" s="57"/>
      <c r="N431" s="57"/>
      <c r="O431" s="57"/>
      <c r="P431" s="57"/>
      <c r="Q431" s="57"/>
      <c r="R431" s="57"/>
      <c r="S431" s="57"/>
      <c r="T431" s="57"/>
      <c r="U431" s="57"/>
      <c r="V431" s="57"/>
      <c r="W431" s="57"/>
      <c r="X431" s="57"/>
      <c r="Y431" s="98"/>
      <c r="AA431" s="98"/>
      <c r="AR431" s="98"/>
      <c r="AS431" s="57"/>
      <c r="AU431" s="57"/>
      <c r="BF431" s="98"/>
      <c r="BG431" s="98"/>
      <c r="BH431" s="98"/>
      <c r="BI431" s="98"/>
      <c r="BJ431" s="98"/>
      <c r="BK431" s="98"/>
      <c r="BL431" s="98"/>
      <c r="BM431" s="57"/>
    </row>
    <row r="432" spans="1:65" ht="11.25" x14ac:dyDescent="0.2">
      <c r="A432" s="57"/>
      <c r="B432" s="57"/>
      <c r="C432" s="57"/>
      <c r="D432" s="57"/>
      <c r="E432" s="57"/>
      <c r="F432" s="57"/>
      <c r="G432" s="57"/>
      <c r="H432" s="57"/>
      <c r="I432" s="57"/>
      <c r="J432" s="57"/>
      <c r="L432" s="57"/>
      <c r="M432" s="57"/>
      <c r="N432" s="57"/>
      <c r="O432" s="57"/>
      <c r="P432" s="57"/>
      <c r="Q432" s="57"/>
      <c r="R432" s="57"/>
      <c r="S432" s="57"/>
      <c r="T432" s="57"/>
      <c r="U432" s="57"/>
      <c r="V432" s="57"/>
      <c r="W432" s="57"/>
      <c r="X432" s="57"/>
      <c r="Y432" s="98"/>
      <c r="AA432" s="98"/>
      <c r="AR432" s="98"/>
      <c r="AS432" s="57"/>
      <c r="AU432" s="57"/>
      <c r="BF432" s="98"/>
      <c r="BG432" s="98"/>
      <c r="BH432" s="98"/>
      <c r="BI432" s="98"/>
      <c r="BJ432" s="98"/>
      <c r="BK432" s="98"/>
      <c r="BL432" s="98"/>
      <c r="BM432" s="57"/>
    </row>
    <row r="433" spans="1:65" ht="11.25" x14ac:dyDescent="0.2">
      <c r="A433" s="57"/>
      <c r="B433" s="57"/>
      <c r="C433" s="57"/>
      <c r="D433" s="57"/>
      <c r="E433" s="57"/>
      <c r="F433" s="57"/>
      <c r="G433" s="57"/>
      <c r="H433" s="57"/>
      <c r="I433" s="57"/>
      <c r="J433" s="57"/>
      <c r="L433" s="57"/>
      <c r="M433" s="57"/>
      <c r="N433" s="57"/>
      <c r="O433" s="57"/>
      <c r="P433" s="57"/>
      <c r="Q433" s="57"/>
      <c r="R433" s="57"/>
      <c r="S433" s="57"/>
      <c r="T433" s="57"/>
      <c r="U433" s="57"/>
      <c r="V433" s="57"/>
      <c r="W433" s="57"/>
      <c r="X433" s="57"/>
      <c r="Y433" s="98"/>
      <c r="AA433" s="98"/>
      <c r="AR433" s="98"/>
      <c r="AS433" s="57"/>
      <c r="AU433" s="57"/>
      <c r="BF433" s="98"/>
      <c r="BG433" s="98"/>
      <c r="BH433" s="98"/>
      <c r="BI433" s="98"/>
      <c r="BJ433" s="98"/>
      <c r="BK433" s="98"/>
      <c r="BL433" s="98"/>
      <c r="BM433" s="57"/>
    </row>
    <row r="434" spans="1:65" ht="11.25" x14ac:dyDescent="0.2">
      <c r="A434" s="57"/>
      <c r="B434" s="57"/>
      <c r="C434" s="57"/>
      <c r="D434" s="57"/>
      <c r="E434" s="57"/>
      <c r="F434" s="57"/>
      <c r="G434" s="57"/>
      <c r="H434" s="57"/>
      <c r="I434" s="57"/>
      <c r="J434" s="57"/>
      <c r="L434" s="57"/>
      <c r="M434" s="57"/>
      <c r="N434" s="57"/>
      <c r="O434" s="57"/>
      <c r="P434" s="57"/>
      <c r="Q434" s="57"/>
      <c r="R434" s="57"/>
      <c r="S434" s="57"/>
      <c r="T434" s="57"/>
      <c r="U434" s="57"/>
      <c r="V434" s="57"/>
      <c r="W434" s="57"/>
      <c r="X434" s="57"/>
      <c r="Y434" s="98"/>
      <c r="AA434" s="98"/>
      <c r="AR434" s="98"/>
      <c r="AS434" s="57"/>
      <c r="AU434" s="57"/>
      <c r="BF434" s="98"/>
      <c r="BG434" s="98"/>
      <c r="BH434" s="98"/>
      <c r="BI434" s="98"/>
      <c r="BJ434" s="98"/>
      <c r="BK434" s="98"/>
      <c r="BL434" s="98"/>
      <c r="BM434" s="57"/>
    </row>
    <row r="435" spans="1:65" ht="11.25" x14ac:dyDescent="0.2">
      <c r="A435" s="57"/>
      <c r="B435" s="57"/>
      <c r="C435" s="57"/>
      <c r="D435" s="57"/>
      <c r="E435" s="57"/>
      <c r="F435" s="57"/>
      <c r="G435" s="57"/>
      <c r="H435" s="57"/>
      <c r="I435" s="57"/>
      <c r="J435" s="57"/>
      <c r="L435" s="57"/>
      <c r="M435" s="57"/>
      <c r="N435" s="57"/>
      <c r="O435" s="57"/>
      <c r="P435" s="57"/>
      <c r="Q435" s="57"/>
      <c r="R435" s="57"/>
      <c r="S435" s="57"/>
      <c r="T435" s="57"/>
      <c r="U435" s="57"/>
      <c r="V435" s="57"/>
      <c r="W435" s="57"/>
      <c r="X435" s="57"/>
      <c r="Y435" s="98"/>
      <c r="AA435" s="98"/>
      <c r="AR435" s="98"/>
      <c r="AS435" s="57"/>
      <c r="AU435" s="57"/>
      <c r="BF435" s="98"/>
      <c r="BG435" s="98"/>
      <c r="BH435" s="98"/>
      <c r="BI435" s="98"/>
      <c r="BJ435" s="98"/>
      <c r="BK435" s="98"/>
      <c r="BL435" s="98"/>
      <c r="BM435" s="57"/>
    </row>
    <row r="436" spans="1:65" ht="11.25" x14ac:dyDescent="0.2">
      <c r="A436" s="57"/>
      <c r="B436" s="57"/>
      <c r="C436" s="57"/>
      <c r="D436" s="57"/>
      <c r="E436" s="57"/>
      <c r="F436" s="57"/>
      <c r="G436" s="57"/>
      <c r="H436" s="57"/>
      <c r="I436" s="57"/>
      <c r="J436" s="57"/>
      <c r="L436" s="57"/>
      <c r="M436" s="57"/>
      <c r="N436" s="57"/>
      <c r="O436" s="57"/>
      <c r="P436" s="57"/>
      <c r="Q436" s="57"/>
      <c r="R436" s="57"/>
      <c r="S436" s="57"/>
      <c r="T436" s="57"/>
      <c r="U436" s="57"/>
      <c r="V436" s="57"/>
      <c r="W436" s="57"/>
      <c r="X436" s="57"/>
      <c r="Y436" s="98"/>
      <c r="AA436" s="98"/>
      <c r="AR436" s="98"/>
      <c r="AS436" s="57"/>
      <c r="AU436" s="57"/>
      <c r="BF436" s="98"/>
      <c r="BG436" s="98"/>
      <c r="BH436" s="98"/>
      <c r="BI436" s="98"/>
      <c r="BJ436" s="98"/>
      <c r="BK436" s="98"/>
      <c r="BL436" s="98"/>
      <c r="BM436" s="57"/>
    </row>
    <row r="437" spans="1:65" ht="11.25" x14ac:dyDescent="0.2">
      <c r="A437" s="57"/>
      <c r="B437" s="57"/>
      <c r="C437" s="57"/>
      <c r="D437" s="57"/>
      <c r="E437" s="57"/>
      <c r="F437" s="57"/>
      <c r="G437" s="57"/>
      <c r="H437" s="57"/>
      <c r="I437" s="57"/>
      <c r="J437" s="57"/>
      <c r="L437" s="57"/>
      <c r="M437" s="57"/>
      <c r="N437" s="57"/>
      <c r="O437" s="57"/>
      <c r="P437" s="57"/>
      <c r="Q437" s="57"/>
      <c r="R437" s="57"/>
      <c r="S437" s="57"/>
      <c r="T437" s="57"/>
      <c r="U437" s="57"/>
      <c r="V437" s="57"/>
      <c r="W437" s="57"/>
      <c r="X437" s="57"/>
      <c r="Y437" s="98"/>
      <c r="AA437" s="98"/>
      <c r="AR437" s="98"/>
      <c r="AS437" s="57"/>
      <c r="AU437" s="57"/>
      <c r="BF437" s="98"/>
      <c r="BG437" s="98"/>
      <c r="BH437" s="98"/>
      <c r="BI437" s="98"/>
      <c r="BJ437" s="98"/>
      <c r="BK437" s="98"/>
      <c r="BL437" s="98"/>
      <c r="BM437" s="57"/>
    </row>
    <row r="438" spans="1:65" ht="11.25" x14ac:dyDescent="0.2">
      <c r="A438" s="57"/>
      <c r="B438" s="57"/>
      <c r="C438" s="57"/>
      <c r="D438" s="57"/>
      <c r="E438" s="57"/>
      <c r="F438" s="57"/>
      <c r="G438" s="57"/>
      <c r="H438" s="57"/>
      <c r="I438" s="57"/>
      <c r="J438" s="57"/>
      <c r="L438" s="57"/>
      <c r="M438" s="57"/>
      <c r="N438" s="57"/>
      <c r="O438" s="57"/>
      <c r="P438" s="57"/>
      <c r="Q438" s="57"/>
      <c r="R438" s="57"/>
      <c r="S438" s="57"/>
      <c r="T438" s="57"/>
      <c r="U438" s="57"/>
      <c r="V438" s="57"/>
      <c r="W438" s="57"/>
      <c r="X438" s="57"/>
      <c r="Y438" s="98"/>
      <c r="AA438" s="98"/>
      <c r="AR438" s="98"/>
      <c r="AS438" s="57"/>
      <c r="AU438" s="57"/>
      <c r="BF438" s="98"/>
      <c r="BG438" s="98"/>
      <c r="BH438" s="98"/>
      <c r="BI438" s="98"/>
      <c r="BJ438" s="98"/>
      <c r="BK438" s="98"/>
      <c r="BL438" s="98"/>
      <c r="BM438" s="57"/>
    </row>
    <row r="439" spans="1:65" ht="11.25" x14ac:dyDescent="0.2">
      <c r="A439" s="57"/>
      <c r="B439" s="57"/>
      <c r="C439" s="57"/>
      <c r="D439" s="57"/>
      <c r="E439" s="57"/>
      <c r="F439" s="57"/>
      <c r="G439" s="57"/>
      <c r="H439" s="57"/>
      <c r="I439" s="57"/>
      <c r="J439" s="57"/>
      <c r="L439" s="57"/>
      <c r="M439" s="57"/>
      <c r="N439" s="57"/>
      <c r="O439" s="57"/>
      <c r="P439" s="57"/>
      <c r="Q439" s="57"/>
      <c r="R439" s="57"/>
      <c r="S439" s="57"/>
      <c r="T439" s="57"/>
      <c r="U439" s="57"/>
      <c r="V439" s="57"/>
      <c r="W439" s="57"/>
      <c r="X439" s="57"/>
      <c r="Y439" s="98"/>
      <c r="AA439" s="98"/>
      <c r="AR439" s="98"/>
      <c r="AS439" s="57"/>
      <c r="AU439" s="57"/>
      <c r="BF439" s="98"/>
      <c r="BG439" s="98"/>
      <c r="BH439" s="98"/>
      <c r="BI439" s="98"/>
      <c r="BJ439" s="98"/>
      <c r="BK439" s="98"/>
      <c r="BL439" s="98"/>
      <c r="BM439" s="57"/>
    </row>
    <row r="440" spans="1:65" ht="11.25" x14ac:dyDescent="0.2">
      <c r="A440" s="57"/>
      <c r="B440" s="57"/>
      <c r="C440" s="57"/>
      <c r="D440" s="57"/>
      <c r="E440" s="57"/>
      <c r="F440" s="57"/>
      <c r="G440" s="57"/>
      <c r="H440" s="57"/>
      <c r="I440" s="57"/>
      <c r="J440" s="57"/>
      <c r="L440" s="57"/>
      <c r="M440" s="57"/>
      <c r="N440" s="57"/>
      <c r="O440" s="57"/>
      <c r="P440" s="57"/>
      <c r="Q440" s="57"/>
      <c r="R440" s="57"/>
      <c r="S440" s="57"/>
      <c r="T440" s="57"/>
      <c r="U440" s="57"/>
      <c r="V440" s="57"/>
      <c r="W440" s="57"/>
      <c r="X440" s="57"/>
      <c r="Y440" s="98"/>
      <c r="AA440" s="98"/>
      <c r="AR440" s="98"/>
      <c r="AS440" s="57"/>
      <c r="AU440" s="57"/>
      <c r="BF440" s="98"/>
      <c r="BG440" s="98"/>
      <c r="BH440" s="98"/>
      <c r="BI440" s="98"/>
      <c r="BJ440" s="98"/>
      <c r="BK440" s="98"/>
      <c r="BL440" s="98"/>
      <c r="BM440" s="57"/>
    </row>
    <row r="441" spans="1:65" ht="11.25" x14ac:dyDescent="0.2">
      <c r="A441" s="57"/>
      <c r="B441" s="57"/>
      <c r="C441" s="57"/>
      <c r="D441" s="57"/>
      <c r="E441" s="57"/>
      <c r="F441" s="57"/>
      <c r="G441" s="57"/>
      <c r="H441" s="57"/>
      <c r="I441" s="57"/>
      <c r="J441" s="57"/>
      <c r="L441" s="57"/>
      <c r="M441" s="57"/>
      <c r="N441" s="57"/>
      <c r="O441" s="57"/>
      <c r="P441" s="57"/>
      <c r="Q441" s="57"/>
      <c r="R441" s="57"/>
      <c r="S441" s="57"/>
      <c r="T441" s="57"/>
      <c r="U441" s="57"/>
      <c r="V441" s="57"/>
      <c r="W441" s="57"/>
      <c r="X441" s="57"/>
      <c r="Y441" s="98"/>
      <c r="AA441" s="98"/>
      <c r="AR441" s="98"/>
      <c r="AS441" s="57"/>
      <c r="AU441" s="57"/>
      <c r="BF441" s="98"/>
      <c r="BG441" s="98"/>
      <c r="BH441" s="98"/>
      <c r="BI441" s="98"/>
      <c r="BJ441" s="98"/>
      <c r="BK441" s="98"/>
      <c r="BL441" s="98"/>
      <c r="BM441" s="57"/>
    </row>
    <row r="442" spans="1:65" ht="11.25" x14ac:dyDescent="0.2">
      <c r="A442" s="57"/>
      <c r="B442" s="57"/>
      <c r="C442" s="57"/>
      <c r="D442" s="57"/>
      <c r="E442" s="57"/>
      <c r="F442" s="57"/>
      <c r="G442" s="57"/>
      <c r="H442" s="57"/>
      <c r="I442" s="57"/>
      <c r="J442" s="57"/>
      <c r="L442" s="57"/>
      <c r="M442" s="57"/>
      <c r="N442" s="57"/>
      <c r="O442" s="57"/>
      <c r="P442" s="57"/>
      <c r="Q442" s="57"/>
      <c r="R442" s="57"/>
      <c r="S442" s="57"/>
      <c r="T442" s="57"/>
      <c r="U442" s="57"/>
      <c r="V442" s="57"/>
      <c r="W442" s="57"/>
      <c r="X442" s="57"/>
      <c r="Y442" s="98"/>
      <c r="AA442" s="98"/>
      <c r="AR442" s="98"/>
      <c r="AS442" s="57"/>
      <c r="AU442" s="57"/>
      <c r="BF442" s="98"/>
      <c r="BG442" s="98"/>
      <c r="BH442" s="98"/>
      <c r="BI442" s="98"/>
      <c r="BJ442" s="98"/>
      <c r="BK442" s="98"/>
      <c r="BL442" s="98"/>
      <c r="BM442" s="57"/>
    </row>
    <row r="443" spans="1:65" ht="11.25" x14ac:dyDescent="0.2">
      <c r="A443" s="57"/>
      <c r="B443" s="57"/>
      <c r="C443" s="57"/>
      <c r="D443" s="57"/>
      <c r="E443" s="57"/>
      <c r="F443" s="57"/>
      <c r="G443" s="57"/>
      <c r="H443" s="57"/>
      <c r="I443" s="57"/>
      <c r="J443" s="57"/>
      <c r="L443" s="57"/>
      <c r="M443" s="57"/>
      <c r="N443" s="57"/>
      <c r="O443" s="57"/>
      <c r="P443" s="57"/>
      <c r="Q443" s="57"/>
      <c r="R443" s="57"/>
      <c r="S443" s="57"/>
      <c r="T443" s="57"/>
      <c r="U443" s="57"/>
      <c r="V443" s="57"/>
      <c r="W443" s="57"/>
      <c r="X443" s="57"/>
      <c r="Y443" s="98"/>
      <c r="AA443" s="98"/>
      <c r="AR443" s="98"/>
      <c r="AS443" s="57"/>
      <c r="AU443" s="57"/>
      <c r="BF443" s="98"/>
      <c r="BG443" s="98"/>
      <c r="BH443" s="98"/>
      <c r="BI443" s="98"/>
      <c r="BJ443" s="98"/>
      <c r="BK443" s="98"/>
      <c r="BL443" s="98"/>
      <c r="BM443" s="57"/>
    </row>
    <row r="444" spans="1:65" ht="11.25" x14ac:dyDescent="0.2">
      <c r="A444" s="57"/>
      <c r="B444" s="57"/>
      <c r="C444" s="57"/>
      <c r="D444" s="57"/>
      <c r="E444" s="57"/>
      <c r="F444" s="57"/>
      <c r="G444" s="57"/>
      <c r="H444" s="57"/>
      <c r="I444" s="57"/>
      <c r="J444" s="57"/>
      <c r="L444" s="57"/>
      <c r="M444" s="57"/>
      <c r="N444" s="57"/>
      <c r="O444" s="57"/>
      <c r="P444" s="57"/>
      <c r="Q444" s="57"/>
      <c r="R444" s="57"/>
      <c r="S444" s="57"/>
      <c r="T444" s="57"/>
      <c r="U444" s="57"/>
      <c r="V444" s="57"/>
      <c r="W444" s="57"/>
      <c r="X444" s="57"/>
      <c r="Y444" s="98"/>
      <c r="AA444" s="98"/>
      <c r="AR444" s="98"/>
      <c r="AS444" s="57"/>
      <c r="AU444" s="57"/>
      <c r="BF444" s="98"/>
      <c r="BG444" s="98"/>
      <c r="BH444" s="98"/>
      <c r="BI444" s="98"/>
      <c r="BJ444" s="98"/>
      <c r="BK444" s="98"/>
      <c r="BL444" s="98"/>
      <c r="BM444" s="57"/>
    </row>
    <row r="445" spans="1:65" ht="11.25" x14ac:dyDescent="0.2">
      <c r="A445" s="57"/>
      <c r="B445" s="57"/>
      <c r="C445" s="57"/>
      <c r="D445" s="57"/>
      <c r="E445" s="57"/>
      <c r="F445" s="57"/>
      <c r="G445" s="57"/>
      <c r="H445" s="57"/>
      <c r="I445" s="57"/>
      <c r="J445" s="57"/>
      <c r="L445" s="57"/>
      <c r="M445" s="57"/>
      <c r="N445" s="57"/>
      <c r="O445" s="57"/>
      <c r="P445" s="57"/>
      <c r="Q445" s="57"/>
      <c r="R445" s="57"/>
      <c r="S445" s="57"/>
      <c r="T445" s="57"/>
      <c r="U445" s="57"/>
      <c r="V445" s="57"/>
      <c r="W445" s="57"/>
      <c r="X445" s="57"/>
      <c r="Y445" s="98"/>
      <c r="AA445" s="98"/>
      <c r="AR445" s="98"/>
      <c r="AS445" s="57"/>
      <c r="AU445" s="57"/>
      <c r="BF445" s="98"/>
      <c r="BG445" s="98"/>
      <c r="BH445" s="98"/>
      <c r="BI445" s="98"/>
      <c r="BJ445" s="98"/>
      <c r="BK445" s="98"/>
      <c r="BL445" s="98"/>
      <c r="BM445" s="57"/>
    </row>
    <row r="446" spans="1:65" ht="11.25" x14ac:dyDescent="0.2">
      <c r="A446" s="57"/>
      <c r="B446" s="57"/>
      <c r="C446" s="57"/>
      <c r="D446" s="57"/>
      <c r="E446" s="57"/>
      <c r="F446" s="57"/>
      <c r="G446" s="57"/>
      <c r="H446" s="57"/>
      <c r="I446" s="57"/>
      <c r="J446" s="57"/>
      <c r="L446" s="57"/>
      <c r="M446" s="57"/>
      <c r="N446" s="57"/>
      <c r="O446" s="57"/>
      <c r="P446" s="57"/>
      <c r="Q446" s="57"/>
      <c r="R446" s="57"/>
      <c r="S446" s="57"/>
      <c r="T446" s="57"/>
      <c r="U446" s="57"/>
      <c r="V446" s="57"/>
      <c r="W446" s="57"/>
      <c r="X446" s="57"/>
      <c r="Y446" s="98"/>
      <c r="AA446" s="98"/>
      <c r="AR446" s="98"/>
      <c r="AS446" s="57"/>
      <c r="AU446" s="57"/>
      <c r="BF446" s="98"/>
      <c r="BG446" s="98"/>
      <c r="BH446" s="98"/>
      <c r="BI446" s="98"/>
      <c r="BJ446" s="98"/>
      <c r="BK446" s="98"/>
      <c r="BL446" s="98"/>
      <c r="BM446" s="57"/>
    </row>
    <row r="447" spans="1:65" ht="11.25" x14ac:dyDescent="0.2">
      <c r="A447" s="57"/>
      <c r="B447" s="57"/>
      <c r="C447" s="57"/>
      <c r="D447" s="57"/>
      <c r="E447" s="57"/>
      <c r="F447" s="57"/>
      <c r="G447" s="57"/>
      <c r="H447" s="57"/>
      <c r="I447" s="57"/>
      <c r="J447" s="57"/>
      <c r="L447" s="57"/>
      <c r="M447" s="57"/>
      <c r="N447" s="57"/>
      <c r="O447" s="57"/>
      <c r="P447" s="57"/>
      <c r="Q447" s="57"/>
      <c r="R447" s="57"/>
      <c r="S447" s="57"/>
      <c r="T447" s="57"/>
      <c r="U447" s="57"/>
      <c r="V447" s="57"/>
      <c r="W447" s="57"/>
      <c r="X447" s="57"/>
      <c r="Y447" s="98"/>
      <c r="AA447" s="98"/>
      <c r="AR447" s="98"/>
      <c r="AS447" s="57"/>
      <c r="AU447" s="57"/>
      <c r="BF447" s="98"/>
      <c r="BG447" s="98"/>
      <c r="BH447" s="98"/>
      <c r="BI447" s="98"/>
      <c r="BJ447" s="98"/>
      <c r="BK447" s="98"/>
      <c r="BL447" s="98"/>
      <c r="BM447" s="57"/>
    </row>
    <row r="448" spans="1:65" ht="11.25" x14ac:dyDescent="0.2">
      <c r="A448" s="57"/>
      <c r="B448" s="57"/>
      <c r="C448" s="57"/>
      <c r="D448" s="57"/>
      <c r="E448" s="57"/>
      <c r="F448" s="57"/>
      <c r="G448" s="57"/>
      <c r="H448" s="57"/>
      <c r="I448" s="57"/>
      <c r="J448" s="57"/>
      <c r="L448" s="57"/>
      <c r="M448" s="57"/>
      <c r="N448" s="57"/>
      <c r="O448" s="57"/>
      <c r="P448" s="57"/>
      <c r="Q448" s="57"/>
      <c r="R448" s="57"/>
      <c r="S448" s="57"/>
      <c r="T448" s="57"/>
      <c r="U448" s="57"/>
      <c r="V448" s="57"/>
      <c r="W448" s="57"/>
      <c r="X448" s="57"/>
      <c r="Y448" s="98"/>
      <c r="AA448" s="98"/>
      <c r="AR448" s="98"/>
      <c r="AS448" s="57"/>
      <c r="AU448" s="57"/>
      <c r="BF448" s="98"/>
      <c r="BG448" s="98"/>
      <c r="BH448" s="98"/>
      <c r="BI448" s="98"/>
      <c r="BJ448" s="98"/>
      <c r="BK448" s="98"/>
      <c r="BL448" s="98"/>
      <c r="BM448" s="57"/>
    </row>
    <row r="449" spans="1:65" ht="11.25" x14ac:dyDescent="0.2">
      <c r="A449" s="57"/>
      <c r="B449" s="57"/>
      <c r="C449" s="57"/>
      <c r="D449" s="57"/>
      <c r="E449" s="57"/>
      <c r="F449" s="57"/>
      <c r="G449" s="57"/>
      <c r="H449" s="57"/>
      <c r="I449" s="57"/>
      <c r="J449" s="57"/>
      <c r="L449" s="57"/>
      <c r="M449" s="57"/>
      <c r="N449" s="57"/>
      <c r="O449" s="57"/>
      <c r="P449" s="57"/>
      <c r="Q449" s="57"/>
      <c r="R449" s="57"/>
      <c r="S449" s="57"/>
      <c r="T449" s="57"/>
      <c r="U449" s="57"/>
      <c r="V449" s="57"/>
      <c r="W449" s="57"/>
      <c r="X449" s="57"/>
      <c r="Y449" s="98"/>
      <c r="AA449" s="98"/>
      <c r="AR449" s="98"/>
      <c r="AS449" s="57"/>
      <c r="AU449" s="57"/>
      <c r="BF449" s="98"/>
      <c r="BG449" s="98"/>
      <c r="BH449" s="98"/>
      <c r="BI449" s="98"/>
      <c r="BJ449" s="98"/>
      <c r="BK449" s="98"/>
      <c r="BL449" s="98"/>
      <c r="BM449" s="57"/>
    </row>
    <row r="450" spans="1:65" ht="11.25" x14ac:dyDescent="0.2">
      <c r="A450" s="57"/>
      <c r="B450" s="57"/>
      <c r="C450" s="57"/>
      <c r="D450" s="57"/>
      <c r="E450" s="57"/>
      <c r="F450" s="57"/>
      <c r="G450" s="57"/>
      <c r="H450" s="57"/>
      <c r="I450" s="57"/>
      <c r="J450" s="57"/>
      <c r="L450" s="57"/>
      <c r="M450" s="57"/>
      <c r="N450" s="57"/>
      <c r="O450" s="57"/>
      <c r="P450" s="57"/>
      <c r="Q450" s="57"/>
      <c r="R450" s="57"/>
      <c r="S450" s="57"/>
      <c r="T450" s="57"/>
      <c r="U450" s="57"/>
      <c r="V450" s="57"/>
      <c r="W450" s="57"/>
      <c r="X450" s="57"/>
      <c r="Y450" s="98"/>
      <c r="AA450" s="98"/>
      <c r="AR450" s="98"/>
      <c r="AS450" s="57"/>
      <c r="AU450" s="57"/>
      <c r="BF450" s="98"/>
      <c r="BG450" s="98"/>
      <c r="BH450" s="98"/>
      <c r="BI450" s="98"/>
      <c r="BJ450" s="98"/>
      <c r="BK450" s="98"/>
      <c r="BL450" s="98"/>
      <c r="BM450" s="57"/>
    </row>
    <row r="451" spans="1:65" ht="11.25" x14ac:dyDescent="0.2">
      <c r="A451" s="57"/>
      <c r="B451" s="57"/>
      <c r="C451" s="57"/>
      <c r="D451" s="57"/>
      <c r="E451" s="57"/>
      <c r="F451" s="57"/>
      <c r="G451" s="57"/>
      <c r="H451" s="57"/>
      <c r="I451" s="57"/>
      <c r="J451" s="57"/>
      <c r="L451" s="57"/>
      <c r="M451" s="57"/>
      <c r="N451" s="57"/>
      <c r="O451" s="57"/>
      <c r="P451" s="57"/>
      <c r="Q451" s="57"/>
      <c r="R451" s="57"/>
      <c r="S451" s="57"/>
      <c r="T451" s="57"/>
      <c r="U451" s="57"/>
      <c r="V451" s="57"/>
      <c r="W451" s="57"/>
      <c r="X451" s="57"/>
      <c r="Y451" s="98"/>
      <c r="AA451" s="98"/>
      <c r="AR451" s="98"/>
      <c r="AS451" s="57"/>
      <c r="AU451" s="57"/>
      <c r="BF451" s="98"/>
      <c r="BG451" s="98"/>
      <c r="BH451" s="98"/>
      <c r="BI451" s="98"/>
      <c r="BJ451" s="98"/>
      <c r="BK451" s="98"/>
      <c r="BL451" s="98"/>
      <c r="BM451" s="57"/>
    </row>
    <row r="452" spans="1:65" ht="11.25" x14ac:dyDescent="0.2">
      <c r="A452" s="57"/>
      <c r="B452" s="57"/>
      <c r="C452" s="57"/>
      <c r="D452" s="57"/>
      <c r="E452" s="57"/>
      <c r="F452" s="57"/>
      <c r="G452" s="57"/>
      <c r="H452" s="57"/>
      <c r="I452" s="57"/>
      <c r="J452" s="57"/>
      <c r="L452" s="57"/>
      <c r="M452" s="57"/>
      <c r="N452" s="57"/>
      <c r="O452" s="57"/>
      <c r="P452" s="57"/>
      <c r="Q452" s="57"/>
      <c r="R452" s="57"/>
      <c r="S452" s="57"/>
      <c r="T452" s="57"/>
      <c r="U452" s="57"/>
      <c r="V452" s="57"/>
      <c r="W452" s="57"/>
      <c r="X452" s="57"/>
      <c r="Y452" s="98"/>
      <c r="AA452" s="98"/>
      <c r="AR452" s="98"/>
      <c r="AS452" s="57"/>
      <c r="AU452" s="57"/>
      <c r="BF452" s="98"/>
      <c r="BG452" s="98"/>
      <c r="BH452" s="98"/>
      <c r="BI452" s="98"/>
      <c r="BJ452" s="98"/>
      <c r="BK452" s="98"/>
      <c r="BL452" s="98"/>
      <c r="BM452" s="57"/>
    </row>
    <row r="453" spans="1:65" ht="11.25" x14ac:dyDescent="0.2">
      <c r="A453" s="57"/>
      <c r="B453" s="57"/>
      <c r="C453" s="57"/>
      <c r="D453" s="57"/>
      <c r="E453" s="57"/>
      <c r="F453" s="57"/>
      <c r="G453" s="57"/>
      <c r="H453" s="57"/>
      <c r="I453" s="57"/>
      <c r="J453" s="57"/>
      <c r="L453" s="57"/>
      <c r="M453" s="57"/>
      <c r="N453" s="57"/>
      <c r="O453" s="57"/>
      <c r="P453" s="57"/>
      <c r="Q453" s="57"/>
      <c r="R453" s="57"/>
      <c r="S453" s="57"/>
      <c r="T453" s="57"/>
      <c r="U453" s="57"/>
      <c r="V453" s="57"/>
      <c r="W453" s="57"/>
      <c r="X453" s="57"/>
      <c r="Y453" s="98"/>
      <c r="AA453" s="98"/>
      <c r="AR453" s="98"/>
      <c r="AS453" s="57"/>
      <c r="AU453" s="57"/>
      <c r="BF453" s="98"/>
      <c r="BG453" s="98"/>
      <c r="BH453" s="98"/>
      <c r="BI453" s="98"/>
      <c r="BJ453" s="98"/>
      <c r="BK453" s="98"/>
      <c r="BL453" s="98"/>
      <c r="BM453" s="57"/>
    </row>
    <row r="454" spans="1:65" ht="11.25" x14ac:dyDescent="0.2">
      <c r="A454" s="57"/>
      <c r="B454" s="57"/>
      <c r="C454" s="57"/>
      <c r="D454" s="57"/>
      <c r="E454" s="57"/>
      <c r="F454" s="57"/>
      <c r="G454" s="57"/>
      <c r="H454" s="57"/>
      <c r="I454" s="57"/>
      <c r="J454" s="57"/>
      <c r="L454" s="57"/>
      <c r="M454" s="57"/>
      <c r="N454" s="57"/>
      <c r="O454" s="57"/>
      <c r="P454" s="57"/>
      <c r="Q454" s="57"/>
      <c r="R454" s="57"/>
      <c r="S454" s="57"/>
      <c r="T454" s="57"/>
      <c r="U454" s="57"/>
      <c r="V454" s="57"/>
      <c r="W454" s="57"/>
      <c r="X454" s="57"/>
      <c r="Y454" s="98"/>
      <c r="AA454" s="98"/>
      <c r="AR454" s="98"/>
      <c r="AS454" s="57"/>
      <c r="AU454" s="57"/>
      <c r="BF454" s="98"/>
      <c r="BG454" s="98"/>
      <c r="BH454" s="98"/>
      <c r="BI454" s="98"/>
      <c r="BJ454" s="98"/>
      <c r="BK454" s="98"/>
      <c r="BL454" s="98"/>
      <c r="BM454" s="57"/>
    </row>
    <row r="455" spans="1:65" ht="11.25" x14ac:dyDescent="0.2">
      <c r="A455" s="57"/>
      <c r="B455" s="57"/>
      <c r="C455" s="57"/>
      <c r="D455" s="57"/>
      <c r="E455" s="57"/>
      <c r="F455" s="57"/>
      <c r="G455" s="57"/>
      <c r="H455" s="57"/>
      <c r="I455" s="57"/>
      <c r="J455" s="57"/>
      <c r="L455" s="57"/>
      <c r="M455" s="57"/>
      <c r="N455" s="57"/>
      <c r="O455" s="57"/>
      <c r="P455" s="57"/>
      <c r="Q455" s="57"/>
      <c r="R455" s="57"/>
      <c r="S455" s="57"/>
      <c r="T455" s="57"/>
      <c r="U455" s="57"/>
      <c r="V455" s="57"/>
      <c r="W455" s="57"/>
      <c r="X455" s="57"/>
      <c r="Y455" s="98"/>
      <c r="AA455" s="98"/>
      <c r="AR455" s="98"/>
      <c r="AS455" s="57"/>
      <c r="AU455" s="57"/>
      <c r="BF455" s="98"/>
      <c r="BG455" s="98"/>
      <c r="BH455" s="98"/>
      <c r="BI455" s="98"/>
      <c r="BJ455" s="98"/>
      <c r="BK455" s="98"/>
      <c r="BL455" s="98"/>
      <c r="BM455" s="57"/>
    </row>
    <row r="456" spans="1:65" ht="11.25" x14ac:dyDescent="0.2">
      <c r="A456" s="57"/>
      <c r="B456" s="57"/>
      <c r="C456" s="57"/>
      <c r="D456" s="57"/>
      <c r="E456" s="57"/>
      <c r="F456" s="57"/>
      <c r="G456" s="57"/>
      <c r="H456" s="57"/>
      <c r="I456" s="57"/>
      <c r="J456" s="57"/>
      <c r="L456" s="57"/>
      <c r="M456" s="57"/>
      <c r="N456" s="57"/>
      <c r="O456" s="57"/>
      <c r="P456" s="57"/>
      <c r="Q456" s="57"/>
      <c r="R456" s="57"/>
      <c r="S456" s="57"/>
      <c r="T456" s="57"/>
      <c r="U456" s="57"/>
      <c r="V456" s="57"/>
      <c r="W456" s="57"/>
      <c r="X456" s="57"/>
      <c r="Y456" s="98"/>
      <c r="AA456" s="98"/>
      <c r="AR456" s="98"/>
      <c r="AS456" s="57"/>
      <c r="AU456" s="57"/>
      <c r="BF456" s="98"/>
      <c r="BG456" s="98"/>
      <c r="BH456" s="98"/>
      <c r="BI456" s="98"/>
      <c r="BJ456" s="98"/>
      <c r="BK456" s="98"/>
      <c r="BL456" s="98"/>
      <c r="BM456" s="57"/>
    </row>
    <row r="457" spans="1:65" ht="11.25" x14ac:dyDescent="0.2">
      <c r="A457" s="57"/>
      <c r="B457" s="57"/>
      <c r="C457" s="57"/>
      <c r="D457" s="57"/>
      <c r="E457" s="57"/>
      <c r="F457" s="57"/>
      <c r="G457" s="57"/>
      <c r="H457" s="57"/>
      <c r="I457" s="57"/>
      <c r="J457" s="57"/>
      <c r="L457" s="57"/>
      <c r="M457" s="57"/>
      <c r="N457" s="57"/>
      <c r="O457" s="57"/>
      <c r="P457" s="57"/>
      <c r="Q457" s="57"/>
      <c r="R457" s="57"/>
      <c r="S457" s="57"/>
      <c r="T457" s="57"/>
      <c r="U457" s="57"/>
      <c r="V457" s="57"/>
      <c r="W457" s="57"/>
      <c r="X457" s="57"/>
      <c r="Y457" s="98"/>
      <c r="AA457" s="98"/>
      <c r="AR457" s="98"/>
      <c r="AS457" s="57"/>
      <c r="AU457" s="57"/>
      <c r="BF457" s="98"/>
      <c r="BG457" s="98"/>
      <c r="BH457" s="98"/>
      <c r="BI457" s="98"/>
      <c r="BJ457" s="98"/>
      <c r="BK457" s="98"/>
      <c r="BL457" s="98"/>
      <c r="BM457" s="57"/>
    </row>
    <row r="458" spans="1:65" ht="11.25" x14ac:dyDescent="0.2">
      <c r="A458" s="57"/>
      <c r="B458" s="57"/>
      <c r="C458" s="57"/>
      <c r="D458" s="57"/>
      <c r="E458" s="57"/>
      <c r="F458" s="57"/>
      <c r="G458" s="57"/>
      <c r="H458" s="57"/>
      <c r="I458" s="57"/>
      <c r="J458" s="57"/>
      <c r="L458" s="57"/>
      <c r="M458" s="57"/>
      <c r="N458" s="57"/>
      <c r="O458" s="57"/>
      <c r="P458" s="57"/>
      <c r="Q458" s="57"/>
      <c r="R458" s="57"/>
      <c r="S458" s="57"/>
      <c r="T458" s="57"/>
      <c r="U458" s="57"/>
      <c r="V458" s="57"/>
      <c r="W458" s="57"/>
      <c r="X458" s="57"/>
      <c r="Y458" s="98"/>
      <c r="AA458" s="98"/>
      <c r="AR458" s="98"/>
      <c r="AS458" s="57"/>
      <c r="AU458" s="57"/>
      <c r="BF458" s="98"/>
      <c r="BG458" s="98"/>
      <c r="BH458" s="98"/>
      <c r="BI458" s="98"/>
      <c r="BJ458" s="98"/>
      <c r="BK458" s="98"/>
      <c r="BL458" s="98"/>
      <c r="BM458" s="57"/>
    </row>
    <row r="459" spans="1:65" ht="11.25" x14ac:dyDescent="0.2">
      <c r="A459" s="57"/>
      <c r="B459" s="57"/>
      <c r="C459" s="57"/>
      <c r="D459" s="57"/>
      <c r="E459" s="57"/>
      <c r="F459" s="57"/>
      <c r="G459" s="57"/>
      <c r="H459" s="57"/>
      <c r="I459" s="57"/>
      <c r="J459" s="57"/>
      <c r="L459" s="57"/>
      <c r="M459" s="57"/>
      <c r="N459" s="57"/>
      <c r="O459" s="57"/>
      <c r="P459" s="57"/>
      <c r="Q459" s="57"/>
      <c r="R459" s="57"/>
      <c r="S459" s="57"/>
      <c r="T459" s="57"/>
      <c r="U459" s="57"/>
      <c r="V459" s="57"/>
      <c r="W459" s="57"/>
      <c r="X459" s="57"/>
      <c r="Y459" s="98"/>
      <c r="AA459" s="98"/>
      <c r="AR459" s="98"/>
      <c r="AS459" s="57"/>
      <c r="AU459" s="57"/>
      <c r="BF459" s="98"/>
      <c r="BG459" s="98"/>
      <c r="BH459" s="98"/>
      <c r="BI459" s="98"/>
      <c r="BJ459" s="98"/>
      <c r="BK459" s="98"/>
      <c r="BL459" s="98"/>
      <c r="BM459" s="57"/>
    </row>
    <row r="460" spans="1:65" ht="11.25" x14ac:dyDescent="0.2">
      <c r="A460" s="57"/>
      <c r="B460" s="57"/>
      <c r="C460" s="57"/>
      <c r="D460" s="57"/>
      <c r="E460" s="57"/>
      <c r="F460" s="57"/>
      <c r="G460" s="57"/>
      <c r="H460" s="57"/>
      <c r="I460" s="57"/>
      <c r="J460" s="57"/>
      <c r="L460" s="57"/>
      <c r="M460" s="57"/>
      <c r="N460" s="57"/>
      <c r="O460" s="57"/>
      <c r="P460" s="57"/>
      <c r="Q460" s="57"/>
      <c r="R460" s="57"/>
      <c r="S460" s="57"/>
      <c r="T460" s="57"/>
      <c r="U460" s="57"/>
      <c r="V460" s="57"/>
      <c r="W460" s="57"/>
      <c r="X460" s="57"/>
      <c r="Y460" s="98"/>
      <c r="AA460" s="98"/>
      <c r="AR460" s="98"/>
      <c r="AS460" s="57"/>
      <c r="AU460" s="57"/>
      <c r="BF460" s="98"/>
      <c r="BG460" s="98"/>
      <c r="BH460" s="98"/>
      <c r="BI460" s="98"/>
      <c r="BJ460" s="98"/>
      <c r="BK460" s="98"/>
      <c r="BL460" s="98"/>
      <c r="BM460" s="57"/>
    </row>
    <row r="461" spans="1:65" ht="11.25" x14ac:dyDescent="0.2">
      <c r="A461" s="57"/>
      <c r="B461" s="57"/>
      <c r="C461" s="57"/>
      <c r="D461" s="57"/>
      <c r="E461" s="57"/>
      <c r="F461" s="57"/>
      <c r="G461" s="57"/>
      <c r="H461" s="57"/>
      <c r="I461" s="57"/>
      <c r="J461" s="57"/>
      <c r="L461" s="57"/>
      <c r="M461" s="57"/>
      <c r="N461" s="57"/>
      <c r="O461" s="57"/>
      <c r="P461" s="57"/>
      <c r="Q461" s="57"/>
      <c r="R461" s="57"/>
      <c r="S461" s="57"/>
      <c r="T461" s="57"/>
      <c r="U461" s="57"/>
      <c r="V461" s="57"/>
      <c r="W461" s="57"/>
      <c r="X461" s="57"/>
      <c r="Y461" s="98"/>
      <c r="AA461" s="98"/>
      <c r="AR461" s="98"/>
      <c r="AS461" s="57"/>
      <c r="AU461" s="57"/>
      <c r="BF461" s="98"/>
      <c r="BG461" s="98"/>
      <c r="BH461" s="98"/>
      <c r="BI461" s="98"/>
      <c r="BJ461" s="98"/>
      <c r="BK461" s="98"/>
      <c r="BL461" s="98"/>
      <c r="BM461" s="57"/>
    </row>
    <row r="462" spans="1:65" ht="11.25" x14ac:dyDescent="0.2">
      <c r="A462" s="57"/>
      <c r="B462" s="57"/>
      <c r="C462" s="57"/>
      <c r="D462" s="57"/>
      <c r="E462" s="57"/>
      <c r="F462" s="57"/>
      <c r="G462" s="57"/>
      <c r="H462" s="57"/>
      <c r="I462" s="57"/>
      <c r="J462" s="57"/>
      <c r="L462" s="57"/>
      <c r="M462" s="57"/>
      <c r="N462" s="57"/>
      <c r="O462" s="57"/>
      <c r="P462" s="57"/>
      <c r="Q462" s="57"/>
      <c r="R462" s="57"/>
      <c r="S462" s="57"/>
      <c r="T462" s="57"/>
      <c r="U462" s="57"/>
      <c r="V462" s="57"/>
      <c r="W462" s="57"/>
      <c r="X462" s="57"/>
      <c r="Y462" s="98"/>
      <c r="AA462" s="98"/>
      <c r="AR462" s="98"/>
      <c r="AS462" s="57"/>
      <c r="AU462" s="57"/>
      <c r="BF462" s="98"/>
      <c r="BG462" s="98"/>
      <c r="BH462" s="98"/>
      <c r="BI462" s="98"/>
      <c r="BJ462" s="98"/>
      <c r="BK462" s="98"/>
      <c r="BL462" s="98"/>
      <c r="BM462" s="57"/>
    </row>
    <row r="463" spans="1:65" ht="11.25" x14ac:dyDescent="0.2">
      <c r="A463" s="57"/>
      <c r="B463" s="57"/>
      <c r="C463" s="57"/>
      <c r="D463" s="57"/>
      <c r="E463" s="57"/>
      <c r="F463" s="57"/>
      <c r="G463" s="57"/>
      <c r="H463" s="57"/>
      <c r="I463" s="57"/>
      <c r="J463" s="57"/>
      <c r="L463" s="57"/>
      <c r="M463" s="57"/>
      <c r="N463" s="57"/>
      <c r="O463" s="57"/>
      <c r="P463" s="57"/>
      <c r="Q463" s="57"/>
      <c r="R463" s="57"/>
      <c r="S463" s="57"/>
      <c r="T463" s="57"/>
      <c r="U463" s="57"/>
      <c r="V463" s="57"/>
      <c r="W463" s="57"/>
      <c r="X463" s="57"/>
      <c r="Y463" s="98"/>
      <c r="AA463" s="98"/>
      <c r="AR463" s="98"/>
      <c r="AS463" s="57"/>
      <c r="AU463" s="57"/>
      <c r="BF463" s="98"/>
      <c r="BG463" s="98"/>
      <c r="BH463" s="98"/>
      <c r="BI463" s="98"/>
      <c r="BJ463" s="98"/>
      <c r="BK463" s="98"/>
      <c r="BL463" s="98"/>
      <c r="BM463" s="57"/>
    </row>
    <row r="464" spans="1:65" ht="11.25" x14ac:dyDescent="0.2">
      <c r="A464" s="57"/>
      <c r="B464" s="57"/>
      <c r="C464" s="57"/>
      <c r="D464" s="57"/>
      <c r="E464" s="57"/>
      <c r="F464" s="57"/>
      <c r="G464" s="57"/>
      <c r="H464" s="57"/>
      <c r="I464" s="57"/>
      <c r="J464" s="57"/>
      <c r="L464" s="57"/>
      <c r="M464" s="57"/>
      <c r="N464" s="57"/>
      <c r="O464" s="57"/>
      <c r="P464" s="57"/>
      <c r="Q464" s="57"/>
      <c r="R464" s="57"/>
      <c r="S464" s="57"/>
      <c r="T464" s="57"/>
      <c r="U464" s="57"/>
      <c r="V464" s="57"/>
      <c r="W464" s="57"/>
      <c r="X464" s="57"/>
      <c r="Y464" s="98"/>
      <c r="AA464" s="98"/>
      <c r="AR464" s="98"/>
      <c r="AS464" s="57"/>
      <c r="AU464" s="57"/>
      <c r="BF464" s="98"/>
      <c r="BG464" s="98"/>
      <c r="BH464" s="98"/>
      <c r="BI464" s="98"/>
      <c r="BJ464" s="98"/>
      <c r="BK464" s="98"/>
      <c r="BL464" s="98"/>
      <c r="BM464" s="57"/>
    </row>
    <row r="465" spans="1:65" ht="11.25" x14ac:dyDescent="0.2">
      <c r="A465" s="57"/>
      <c r="B465" s="57"/>
      <c r="C465" s="57"/>
      <c r="D465" s="57"/>
      <c r="E465" s="57"/>
      <c r="F465" s="57"/>
      <c r="G465" s="57"/>
      <c r="H465" s="57"/>
      <c r="I465" s="57"/>
      <c r="J465" s="57"/>
      <c r="L465" s="57"/>
      <c r="M465" s="57"/>
      <c r="N465" s="57"/>
      <c r="O465" s="57"/>
      <c r="P465" s="57"/>
      <c r="Q465" s="57"/>
      <c r="R465" s="57"/>
      <c r="S465" s="57"/>
      <c r="T465" s="57"/>
      <c r="U465" s="57"/>
      <c r="V465" s="57"/>
      <c r="W465" s="57"/>
      <c r="X465" s="57"/>
      <c r="Y465" s="98"/>
      <c r="AA465" s="98"/>
      <c r="AR465" s="98"/>
      <c r="AS465" s="57"/>
      <c r="AU465" s="57"/>
      <c r="BF465" s="98"/>
      <c r="BG465" s="98"/>
      <c r="BH465" s="98"/>
      <c r="BI465" s="98"/>
      <c r="BJ465" s="98"/>
      <c r="BK465" s="98"/>
      <c r="BL465" s="98"/>
      <c r="BM465" s="57"/>
    </row>
    <row r="466" spans="1:65" ht="11.25" x14ac:dyDescent="0.2">
      <c r="A466" s="57"/>
      <c r="B466" s="57"/>
      <c r="C466" s="57"/>
      <c r="D466" s="57"/>
      <c r="E466" s="57"/>
      <c r="F466" s="57"/>
      <c r="G466" s="57"/>
      <c r="H466" s="57"/>
      <c r="I466" s="57"/>
      <c r="J466" s="57"/>
      <c r="L466" s="57"/>
      <c r="M466" s="57"/>
      <c r="N466" s="57"/>
      <c r="O466" s="57"/>
      <c r="P466" s="57"/>
      <c r="Q466" s="57"/>
      <c r="R466" s="57"/>
      <c r="S466" s="57"/>
      <c r="T466" s="57"/>
      <c r="U466" s="57"/>
      <c r="V466" s="57"/>
      <c r="W466" s="57"/>
      <c r="X466" s="57"/>
      <c r="Y466" s="98"/>
      <c r="AA466" s="98"/>
      <c r="AR466" s="98"/>
      <c r="AS466" s="57"/>
      <c r="AU466" s="57"/>
      <c r="BF466" s="98"/>
      <c r="BG466" s="98"/>
      <c r="BH466" s="98"/>
      <c r="BI466" s="98"/>
      <c r="BJ466" s="98"/>
      <c r="BK466" s="98"/>
      <c r="BL466" s="98"/>
      <c r="BM466" s="57"/>
    </row>
    <row r="467" spans="1:65" ht="11.25" x14ac:dyDescent="0.2">
      <c r="A467" s="57"/>
      <c r="B467" s="57"/>
      <c r="C467" s="57"/>
      <c r="D467" s="57"/>
      <c r="E467" s="57"/>
      <c r="F467" s="57"/>
      <c r="G467" s="57"/>
      <c r="H467" s="57"/>
      <c r="I467" s="57"/>
      <c r="J467" s="57"/>
      <c r="L467" s="57"/>
      <c r="M467" s="57"/>
      <c r="N467" s="57"/>
      <c r="O467" s="57"/>
      <c r="P467" s="57"/>
      <c r="Q467" s="57"/>
      <c r="R467" s="57"/>
      <c r="S467" s="57"/>
      <c r="T467" s="57"/>
      <c r="U467" s="57"/>
      <c r="V467" s="57"/>
      <c r="W467" s="57"/>
      <c r="X467" s="57"/>
      <c r="Y467" s="98"/>
      <c r="AA467" s="98"/>
      <c r="AR467" s="98"/>
      <c r="AS467" s="57"/>
      <c r="AU467" s="57"/>
      <c r="BF467" s="98"/>
      <c r="BG467" s="98"/>
      <c r="BH467" s="98"/>
      <c r="BI467" s="98"/>
      <c r="BJ467" s="98"/>
      <c r="BK467" s="98"/>
      <c r="BL467" s="98"/>
      <c r="BM467" s="57"/>
    </row>
    <row r="468" spans="1:65" ht="11.25" x14ac:dyDescent="0.2">
      <c r="A468" s="57"/>
      <c r="B468" s="57"/>
      <c r="C468" s="57"/>
      <c r="D468" s="57"/>
      <c r="E468" s="57"/>
      <c r="F468" s="57"/>
      <c r="G468" s="57"/>
      <c r="H468" s="57"/>
      <c r="I468" s="57"/>
      <c r="J468" s="57"/>
      <c r="L468" s="57"/>
      <c r="M468" s="57"/>
      <c r="N468" s="57"/>
      <c r="O468" s="57"/>
      <c r="P468" s="57"/>
      <c r="Q468" s="57"/>
      <c r="R468" s="57"/>
      <c r="S468" s="57"/>
      <c r="T468" s="57"/>
      <c r="U468" s="57"/>
      <c r="V468" s="57"/>
      <c r="W468" s="57"/>
      <c r="X468" s="57"/>
      <c r="Y468" s="98"/>
      <c r="AA468" s="98"/>
      <c r="AR468" s="98"/>
      <c r="AS468" s="57"/>
      <c r="AU468" s="57"/>
      <c r="BF468" s="98"/>
      <c r="BG468" s="98"/>
      <c r="BH468" s="98"/>
      <c r="BI468" s="98"/>
      <c r="BJ468" s="98"/>
      <c r="BK468" s="98"/>
      <c r="BL468" s="98"/>
      <c r="BM468" s="57"/>
    </row>
    <row r="469" spans="1:65" ht="11.25" x14ac:dyDescent="0.2">
      <c r="A469" s="57"/>
      <c r="B469" s="57"/>
      <c r="C469" s="57"/>
      <c r="D469" s="57"/>
      <c r="E469" s="57"/>
      <c r="F469" s="57"/>
      <c r="G469" s="57"/>
      <c r="H469" s="57"/>
      <c r="I469" s="57"/>
      <c r="J469" s="57"/>
      <c r="L469" s="57"/>
      <c r="M469" s="57"/>
      <c r="N469" s="57"/>
      <c r="O469" s="57"/>
      <c r="P469" s="57"/>
      <c r="Q469" s="57"/>
      <c r="R469" s="57"/>
      <c r="S469" s="57"/>
      <c r="T469" s="57"/>
      <c r="U469" s="57"/>
      <c r="V469" s="57"/>
      <c r="W469" s="57"/>
      <c r="X469" s="57"/>
      <c r="Y469" s="98"/>
      <c r="AA469" s="98"/>
      <c r="AR469" s="98"/>
      <c r="AS469" s="57"/>
      <c r="AU469" s="57"/>
      <c r="BF469" s="98"/>
      <c r="BG469" s="98"/>
      <c r="BH469" s="98"/>
      <c r="BI469" s="98"/>
      <c r="BJ469" s="98"/>
      <c r="BK469" s="98"/>
      <c r="BL469" s="98"/>
      <c r="BM469" s="57"/>
    </row>
    <row r="470" spans="1:65" ht="11.25" x14ac:dyDescent="0.2">
      <c r="A470" s="57"/>
      <c r="B470" s="57"/>
      <c r="C470" s="57"/>
      <c r="D470" s="57"/>
      <c r="E470" s="57"/>
      <c r="F470" s="57"/>
      <c r="G470" s="57"/>
      <c r="H470" s="57"/>
      <c r="I470" s="57"/>
      <c r="J470" s="57"/>
      <c r="L470" s="57"/>
      <c r="M470" s="57"/>
      <c r="N470" s="57"/>
      <c r="O470" s="57"/>
      <c r="P470" s="57"/>
      <c r="Q470" s="57"/>
      <c r="R470" s="57"/>
      <c r="S470" s="57"/>
      <c r="T470" s="57"/>
      <c r="U470" s="57"/>
      <c r="V470" s="57"/>
      <c r="W470" s="57"/>
      <c r="X470" s="57"/>
      <c r="Y470" s="98"/>
      <c r="AA470" s="98"/>
      <c r="AR470" s="98"/>
      <c r="AS470" s="57"/>
      <c r="AU470" s="57"/>
      <c r="BF470" s="98"/>
      <c r="BG470" s="98"/>
      <c r="BH470" s="98"/>
      <c r="BI470" s="98"/>
      <c r="BJ470" s="98"/>
      <c r="BK470" s="98"/>
      <c r="BL470" s="98"/>
      <c r="BM470" s="57"/>
    </row>
    <row r="471" spans="1:65" ht="11.25" x14ac:dyDescent="0.2">
      <c r="A471" s="57"/>
      <c r="B471" s="57"/>
      <c r="C471" s="57"/>
      <c r="D471" s="57"/>
      <c r="E471" s="57"/>
      <c r="F471" s="57"/>
      <c r="G471" s="57"/>
      <c r="H471" s="57"/>
      <c r="I471" s="57"/>
      <c r="J471" s="57"/>
      <c r="L471" s="57"/>
      <c r="M471" s="57"/>
      <c r="N471" s="57"/>
      <c r="O471" s="57"/>
      <c r="P471" s="57"/>
      <c r="Q471" s="57"/>
      <c r="R471" s="57"/>
      <c r="S471" s="57"/>
      <c r="T471" s="57"/>
      <c r="U471" s="57"/>
      <c r="V471" s="57"/>
      <c r="W471" s="57"/>
      <c r="X471" s="57"/>
      <c r="Y471" s="98"/>
      <c r="AA471" s="98"/>
      <c r="AR471" s="98"/>
      <c r="AS471" s="57"/>
      <c r="AU471" s="57"/>
      <c r="BF471" s="98"/>
      <c r="BG471" s="98"/>
      <c r="BH471" s="98"/>
      <c r="BI471" s="98"/>
      <c r="BJ471" s="98"/>
      <c r="BK471" s="98"/>
      <c r="BL471" s="98"/>
      <c r="BM471" s="57"/>
    </row>
    <row r="472" spans="1:65" ht="11.25" x14ac:dyDescent="0.2">
      <c r="A472" s="57"/>
      <c r="B472" s="57"/>
      <c r="C472" s="57"/>
      <c r="D472" s="57"/>
      <c r="E472" s="57"/>
      <c r="F472" s="57"/>
      <c r="G472" s="57"/>
      <c r="H472" s="57"/>
      <c r="I472" s="57"/>
      <c r="J472" s="57"/>
      <c r="L472" s="57"/>
      <c r="M472" s="57"/>
      <c r="N472" s="57"/>
      <c r="O472" s="57"/>
      <c r="P472" s="57"/>
      <c r="Q472" s="57"/>
      <c r="R472" s="57"/>
      <c r="S472" s="57"/>
      <c r="T472" s="57"/>
      <c r="U472" s="57"/>
      <c r="V472" s="57"/>
      <c r="W472" s="57"/>
      <c r="X472" s="57"/>
      <c r="Y472" s="98"/>
      <c r="AA472" s="98"/>
      <c r="AR472" s="98"/>
      <c r="AS472" s="57"/>
      <c r="AU472" s="57"/>
      <c r="BF472" s="98"/>
      <c r="BG472" s="98"/>
      <c r="BH472" s="98"/>
      <c r="BI472" s="98"/>
      <c r="BJ472" s="98"/>
      <c r="BK472" s="98"/>
      <c r="BL472" s="98"/>
      <c r="BM472" s="57"/>
    </row>
    <row r="473" spans="1:65" ht="11.25" x14ac:dyDescent="0.2">
      <c r="A473" s="57"/>
      <c r="B473" s="57"/>
      <c r="C473" s="57"/>
      <c r="D473" s="57"/>
      <c r="E473" s="57"/>
      <c r="F473" s="57"/>
      <c r="G473" s="57"/>
      <c r="H473" s="57"/>
      <c r="I473" s="57"/>
      <c r="J473" s="57"/>
      <c r="L473" s="57"/>
      <c r="M473" s="57"/>
      <c r="N473" s="57"/>
      <c r="O473" s="57"/>
      <c r="P473" s="57"/>
      <c r="Q473" s="57"/>
      <c r="R473" s="57"/>
      <c r="S473" s="57"/>
      <c r="T473" s="57"/>
      <c r="U473" s="57"/>
      <c r="V473" s="57"/>
      <c r="W473" s="57"/>
      <c r="X473" s="57"/>
      <c r="Y473" s="98"/>
      <c r="AA473" s="98"/>
      <c r="AR473" s="98"/>
      <c r="AS473" s="57"/>
      <c r="AU473" s="57"/>
      <c r="BF473" s="98"/>
      <c r="BG473" s="98"/>
      <c r="BH473" s="98"/>
      <c r="BI473" s="98"/>
      <c r="BJ473" s="98"/>
      <c r="BK473" s="98"/>
      <c r="BL473" s="98"/>
      <c r="BM473" s="57"/>
    </row>
    <row r="474" spans="1:65" ht="11.25" x14ac:dyDescent="0.2">
      <c r="A474" s="57"/>
      <c r="B474" s="57"/>
      <c r="C474" s="57"/>
      <c r="D474" s="57"/>
      <c r="E474" s="57"/>
      <c r="F474" s="57"/>
      <c r="G474" s="57"/>
      <c r="H474" s="57"/>
      <c r="I474" s="57"/>
      <c r="J474" s="57"/>
      <c r="L474" s="57"/>
      <c r="M474" s="57"/>
      <c r="N474" s="57"/>
      <c r="O474" s="57"/>
      <c r="P474" s="57"/>
      <c r="Q474" s="57"/>
      <c r="R474" s="57"/>
      <c r="S474" s="57"/>
      <c r="T474" s="57"/>
      <c r="U474" s="57"/>
      <c r="V474" s="57"/>
      <c r="W474" s="57"/>
      <c r="X474" s="57"/>
      <c r="Y474" s="98"/>
      <c r="AA474" s="98"/>
      <c r="AR474" s="98"/>
      <c r="AS474" s="57"/>
      <c r="AU474" s="57"/>
      <c r="BF474" s="98"/>
      <c r="BG474" s="98"/>
      <c r="BH474" s="98"/>
      <c r="BI474" s="98"/>
      <c r="BJ474" s="98"/>
      <c r="BK474" s="98"/>
      <c r="BL474" s="98"/>
      <c r="BM474" s="57"/>
    </row>
    <row r="475" spans="1:65" ht="11.25" x14ac:dyDescent="0.2">
      <c r="A475" s="57"/>
      <c r="B475" s="57"/>
      <c r="C475" s="57"/>
      <c r="D475" s="57"/>
      <c r="E475" s="57"/>
      <c r="F475" s="57"/>
      <c r="G475" s="57"/>
      <c r="H475" s="57"/>
      <c r="I475" s="57"/>
      <c r="J475" s="57"/>
      <c r="L475" s="57"/>
      <c r="M475" s="57"/>
      <c r="N475" s="57"/>
      <c r="O475" s="57"/>
      <c r="P475" s="57"/>
      <c r="Q475" s="57"/>
      <c r="R475" s="57"/>
      <c r="S475" s="57"/>
      <c r="T475" s="57"/>
      <c r="U475" s="57"/>
      <c r="V475" s="57"/>
      <c r="W475" s="57"/>
      <c r="X475" s="57"/>
      <c r="Y475" s="98"/>
      <c r="AA475" s="98"/>
      <c r="AR475" s="98"/>
      <c r="AS475" s="57"/>
      <c r="AU475" s="57"/>
      <c r="BF475" s="98"/>
      <c r="BG475" s="98"/>
      <c r="BH475" s="98"/>
      <c r="BI475" s="98"/>
      <c r="BJ475" s="98"/>
      <c r="BK475" s="98"/>
      <c r="BL475" s="98"/>
      <c r="BM475" s="57"/>
    </row>
    <row r="476" spans="1:65" ht="11.25" x14ac:dyDescent="0.2">
      <c r="A476" s="57"/>
      <c r="B476" s="57"/>
      <c r="C476" s="57"/>
      <c r="D476" s="57"/>
      <c r="E476" s="57"/>
      <c r="F476" s="57"/>
      <c r="G476" s="57"/>
      <c r="H476" s="57"/>
      <c r="I476" s="57"/>
      <c r="J476" s="57"/>
      <c r="L476" s="57"/>
      <c r="M476" s="57"/>
      <c r="N476" s="57"/>
      <c r="O476" s="57"/>
      <c r="P476" s="57"/>
      <c r="Q476" s="57"/>
      <c r="R476" s="57"/>
      <c r="S476" s="57"/>
      <c r="T476" s="57"/>
      <c r="U476" s="57"/>
      <c r="V476" s="57"/>
      <c r="W476" s="57"/>
      <c r="X476" s="57"/>
      <c r="Y476" s="98"/>
      <c r="AA476" s="98"/>
      <c r="AR476" s="98"/>
      <c r="AS476" s="57"/>
      <c r="AU476" s="57"/>
      <c r="BF476" s="98"/>
      <c r="BG476" s="98"/>
      <c r="BH476" s="98"/>
      <c r="BI476" s="98"/>
      <c r="BJ476" s="98"/>
      <c r="BK476" s="98"/>
      <c r="BL476" s="98"/>
      <c r="BM476" s="57"/>
    </row>
    <row r="477" spans="1:65" ht="11.25" x14ac:dyDescent="0.2">
      <c r="A477" s="57"/>
      <c r="B477" s="57"/>
      <c r="C477" s="57"/>
      <c r="D477" s="57"/>
      <c r="E477" s="57"/>
      <c r="F477" s="57"/>
      <c r="G477" s="57"/>
      <c r="H477" s="57"/>
      <c r="I477" s="57"/>
      <c r="J477" s="57"/>
      <c r="L477" s="57"/>
      <c r="M477" s="57"/>
      <c r="N477" s="57"/>
      <c r="O477" s="57"/>
      <c r="P477" s="57"/>
      <c r="Q477" s="57"/>
      <c r="R477" s="57"/>
      <c r="S477" s="57"/>
      <c r="T477" s="57"/>
      <c r="U477" s="57"/>
      <c r="V477" s="57"/>
      <c r="W477" s="57"/>
      <c r="X477" s="57"/>
      <c r="Y477" s="98"/>
      <c r="AA477" s="98"/>
      <c r="AR477" s="98"/>
      <c r="AS477" s="57"/>
      <c r="AU477" s="57"/>
      <c r="BF477" s="98"/>
      <c r="BG477" s="98"/>
      <c r="BH477" s="98"/>
      <c r="BI477" s="98"/>
      <c r="BJ477" s="98"/>
      <c r="BK477" s="98"/>
      <c r="BL477" s="98"/>
      <c r="BM477" s="57"/>
    </row>
    <row r="478" spans="1:65" ht="11.25" x14ac:dyDescent="0.2">
      <c r="A478" s="57"/>
      <c r="B478" s="57"/>
      <c r="C478" s="57"/>
      <c r="D478" s="57"/>
      <c r="E478" s="57"/>
      <c r="F478" s="57"/>
      <c r="G478" s="57"/>
      <c r="H478" s="57"/>
      <c r="I478" s="57"/>
      <c r="J478" s="57"/>
      <c r="L478" s="57"/>
      <c r="M478" s="57"/>
      <c r="N478" s="57"/>
      <c r="O478" s="57"/>
      <c r="P478" s="57"/>
      <c r="Q478" s="57"/>
      <c r="R478" s="57"/>
      <c r="S478" s="57"/>
      <c r="T478" s="57"/>
      <c r="U478" s="57"/>
      <c r="V478" s="57"/>
      <c r="W478" s="57"/>
      <c r="X478" s="57"/>
      <c r="Y478" s="98"/>
      <c r="AA478" s="98"/>
      <c r="AR478" s="98"/>
      <c r="AS478" s="57"/>
      <c r="AU478" s="57"/>
      <c r="BF478" s="98"/>
      <c r="BG478" s="98"/>
      <c r="BH478" s="98"/>
      <c r="BI478" s="98"/>
      <c r="BJ478" s="98"/>
      <c r="BK478" s="98"/>
      <c r="BL478" s="98"/>
      <c r="BM478" s="57"/>
    </row>
    <row r="479" spans="1:65" ht="11.25" x14ac:dyDescent="0.2">
      <c r="A479" s="57"/>
      <c r="B479" s="57"/>
      <c r="C479" s="57"/>
      <c r="D479" s="57"/>
      <c r="E479" s="57"/>
      <c r="F479" s="57"/>
      <c r="G479" s="57"/>
      <c r="H479" s="57"/>
      <c r="I479" s="57"/>
      <c r="J479" s="57"/>
      <c r="L479" s="57"/>
      <c r="M479" s="57"/>
      <c r="N479" s="57"/>
      <c r="O479" s="57"/>
      <c r="P479" s="57"/>
      <c r="Q479" s="57"/>
      <c r="R479" s="57"/>
      <c r="S479" s="57"/>
      <c r="T479" s="57"/>
      <c r="U479" s="57"/>
      <c r="V479" s="57"/>
      <c r="W479" s="57"/>
      <c r="X479" s="57"/>
      <c r="Y479" s="98"/>
      <c r="AA479" s="98"/>
      <c r="AR479" s="98"/>
      <c r="AS479" s="57"/>
      <c r="AU479" s="57"/>
      <c r="BF479" s="98"/>
      <c r="BG479" s="98"/>
      <c r="BH479" s="98"/>
      <c r="BI479" s="98"/>
      <c r="BJ479" s="98"/>
      <c r="BK479" s="98"/>
      <c r="BL479" s="98"/>
      <c r="BM479" s="57"/>
    </row>
    <row r="480" spans="1:65" ht="11.25" x14ac:dyDescent="0.2">
      <c r="A480" s="57"/>
      <c r="B480" s="57"/>
      <c r="C480" s="57"/>
      <c r="D480" s="57"/>
      <c r="E480" s="57"/>
      <c r="F480" s="57"/>
      <c r="G480" s="57"/>
      <c r="H480" s="57"/>
      <c r="I480" s="57"/>
      <c r="J480" s="57"/>
      <c r="L480" s="57"/>
      <c r="M480" s="57"/>
      <c r="N480" s="57"/>
      <c r="O480" s="57"/>
      <c r="P480" s="57"/>
      <c r="Q480" s="57"/>
      <c r="R480" s="57"/>
      <c r="S480" s="57"/>
      <c r="T480" s="57"/>
      <c r="U480" s="57"/>
      <c r="V480" s="57"/>
      <c r="W480" s="57"/>
      <c r="X480" s="57"/>
      <c r="Y480" s="98"/>
      <c r="AA480" s="98"/>
      <c r="AR480" s="98"/>
      <c r="AS480" s="57"/>
      <c r="AU480" s="57"/>
      <c r="BF480" s="98"/>
      <c r="BG480" s="98"/>
      <c r="BH480" s="98"/>
      <c r="BI480" s="98"/>
      <c r="BJ480" s="98"/>
      <c r="BK480" s="98"/>
      <c r="BL480" s="98"/>
      <c r="BM480" s="57"/>
    </row>
    <row r="481" spans="1:65" ht="11.25" x14ac:dyDescent="0.2">
      <c r="A481" s="57"/>
      <c r="B481" s="57"/>
      <c r="C481" s="57"/>
      <c r="D481" s="57"/>
      <c r="E481" s="57"/>
      <c r="F481" s="57"/>
      <c r="G481" s="57"/>
      <c r="H481" s="57"/>
      <c r="I481" s="57"/>
      <c r="J481" s="57"/>
      <c r="L481" s="57"/>
      <c r="M481" s="57"/>
      <c r="N481" s="57"/>
      <c r="O481" s="57"/>
      <c r="P481" s="57"/>
      <c r="Q481" s="57"/>
      <c r="R481" s="57"/>
      <c r="S481" s="57"/>
      <c r="T481" s="57"/>
      <c r="U481" s="57"/>
      <c r="V481" s="57"/>
      <c r="W481" s="57"/>
      <c r="X481" s="57"/>
      <c r="Y481" s="98"/>
      <c r="AA481" s="98"/>
      <c r="AR481" s="98"/>
      <c r="AS481" s="57"/>
      <c r="AU481" s="57"/>
      <c r="BF481" s="98"/>
      <c r="BG481" s="98"/>
      <c r="BH481" s="98"/>
      <c r="BI481" s="98"/>
      <c r="BJ481" s="98"/>
      <c r="BK481" s="98"/>
      <c r="BL481" s="98"/>
      <c r="BM481" s="57"/>
    </row>
    <row r="482" spans="1:65" ht="11.25" x14ac:dyDescent="0.2">
      <c r="A482" s="57"/>
      <c r="B482" s="57"/>
      <c r="C482" s="57"/>
      <c r="D482" s="57"/>
      <c r="E482" s="57"/>
      <c r="F482" s="57"/>
      <c r="G482" s="57"/>
      <c r="H482" s="57"/>
      <c r="I482" s="57"/>
      <c r="J482" s="57"/>
      <c r="L482" s="57"/>
      <c r="M482" s="57"/>
      <c r="N482" s="57"/>
      <c r="O482" s="57"/>
      <c r="P482" s="57"/>
      <c r="Q482" s="57"/>
      <c r="R482" s="57"/>
      <c r="S482" s="57"/>
      <c r="T482" s="57"/>
      <c r="U482" s="57"/>
      <c r="V482" s="57"/>
      <c r="W482" s="57"/>
      <c r="X482" s="57"/>
      <c r="Y482" s="98"/>
      <c r="AA482" s="98"/>
      <c r="AR482" s="98"/>
      <c r="AS482" s="57"/>
      <c r="AU482" s="57"/>
      <c r="BF482" s="98"/>
      <c r="BG482" s="98"/>
      <c r="BH482" s="98"/>
      <c r="BI482" s="98"/>
      <c r="BJ482" s="98"/>
      <c r="BK482" s="98"/>
      <c r="BL482" s="98"/>
      <c r="BM482" s="57"/>
    </row>
    <row r="483" spans="1:65" ht="11.25" x14ac:dyDescent="0.2">
      <c r="A483" s="57"/>
      <c r="B483" s="57"/>
      <c r="C483" s="57"/>
      <c r="D483" s="57"/>
      <c r="E483" s="57"/>
      <c r="F483" s="57"/>
      <c r="G483" s="57"/>
      <c r="H483" s="57"/>
      <c r="I483" s="57"/>
      <c r="J483" s="57"/>
      <c r="L483" s="57"/>
      <c r="M483" s="57"/>
      <c r="N483" s="57"/>
      <c r="O483" s="57"/>
      <c r="P483" s="57"/>
      <c r="Q483" s="57"/>
      <c r="R483" s="57"/>
      <c r="S483" s="57"/>
      <c r="T483" s="57"/>
      <c r="U483" s="57"/>
      <c r="V483" s="57"/>
      <c r="W483" s="57"/>
      <c r="X483" s="57"/>
      <c r="Y483" s="98"/>
      <c r="AA483" s="98"/>
      <c r="AR483" s="98"/>
      <c r="AS483" s="57"/>
      <c r="AU483" s="57"/>
      <c r="BF483" s="98"/>
      <c r="BG483" s="98"/>
      <c r="BH483" s="98"/>
      <c r="BI483" s="98"/>
      <c r="BJ483" s="98"/>
      <c r="BK483" s="98"/>
      <c r="BL483" s="98"/>
      <c r="BM483" s="57"/>
    </row>
    <row r="484" spans="1:65" ht="11.25" x14ac:dyDescent="0.2">
      <c r="A484" s="57"/>
      <c r="B484" s="57"/>
      <c r="C484" s="57"/>
      <c r="D484" s="57"/>
      <c r="E484" s="57"/>
      <c r="F484" s="57"/>
      <c r="G484" s="57"/>
      <c r="H484" s="57"/>
      <c r="I484" s="57"/>
      <c r="J484" s="57"/>
      <c r="L484" s="57"/>
      <c r="M484" s="57"/>
      <c r="N484" s="57"/>
      <c r="O484" s="57"/>
      <c r="P484" s="57"/>
      <c r="Q484" s="57"/>
      <c r="R484" s="57"/>
      <c r="S484" s="57"/>
      <c r="T484" s="57"/>
      <c r="U484" s="57"/>
      <c r="V484" s="57"/>
      <c r="W484" s="57"/>
      <c r="X484" s="57"/>
      <c r="Y484" s="98"/>
      <c r="AA484" s="98"/>
      <c r="AR484" s="98"/>
      <c r="AS484" s="57"/>
      <c r="AU484" s="57"/>
      <c r="BF484" s="98"/>
      <c r="BG484" s="98"/>
      <c r="BH484" s="98"/>
      <c r="BI484" s="98"/>
      <c r="BJ484" s="98"/>
      <c r="BK484" s="98"/>
      <c r="BL484" s="98"/>
      <c r="BM484" s="57"/>
    </row>
    <row r="485" spans="1:65" ht="11.25" x14ac:dyDescent="0.2">
      <c r="A485" s="57"/>
      <c r="B485" s="57"/>
      <c r="C485" s="57"/>
      <c r="D485" s="57"/>
      <c r="E485" s="57"/>
      <c r="F485" s="57"/>
      <c r="G485" s="57"/>
      <c r="H485" s="57"/>
      <c r="I485" s="57"/>
      <c r="J485" s="57"/>
      <c r="L485" s="57"/>
      <c r="M485" s="57"/>
      <c r="N485" s="57"/>
      <c r="O485" s="57"/>
      <c r="P485" s="57"/>
      <c r="Q485" s="57"/>
      <c r="R485" s="57"/>
      <c r="S485" s="57"/>
      <c r="T485" s="57"/>
      <c r="U485" s="57"/>
      <c r="V485" s="57"/>
      <c r="W485" s="57"/>
      <c r="X485" s="57"/>
      <c r="Y485" s="98"/>
      <c r="AA485" s="98"/>
      <c r="AR485" s="98"/>
      <c r="AS485" s="57"/>
      <c r="AU485" s="57"/>
      <c r="BF485" s="98"/>
      <c r="BG485" s="98"/>
      <c r="BH485" s="98"/>
      <c r="BI485" s="98"/>
      <c r="BJ485" s="98"/>
      <c r="BK485" s="98"/>
      <c r="BL485" s="98"/>
      <c r="BM485" s="57"/>
    </row>
    <row r="486" spans="1:65" ht="11.25" x14ac:dyDescent="0.2">
      <c r="A486" s="57"/>
      <c r="B486" s="57"/>
      <c r="C486" s="57"/>
      <c r="D486" s="57"/>
      <c r="E486" s="57"/>
      <c r="F486" s="57"/>
      <c r="G486" s="57"/>
      <c r="H486" s="57"/>
      <c r="I486" s="57"/>
      <c r="J486" s="57"/>
      <c r="L486" s="57"/>
      <c r="M486" s="57"/>
      <c r="N486" s="57"/>
      <c r="O486" s="57"/>
      <c r="P486" s="57"/>
      <c r="Q486" s="57"/>
      <c r="R486" s="57"/>
      <c r="S486" s="57"/>
      <c r="T486" s="57"/>
      <c r="U486" s="57"/>
      <c r="V486" s="57"/>
      <c r="W486" s="57"/>
      <c r="X486" s="57"/>
      <c r="Y486" s="98"/>
      <c r="AA486" s="98"/>
      <c r="AR486" s="98"/>
      <c r="AS486" s="57"/>
      <c r="AU486" s="57"/>
      <c r="BF486" s="98"/>
      <c r="BG486" s="98"/>
      <c r="BH486" s="98"/>
      <c r="BI486" s="98"/>
      <c r="BJ486" s="98"/>
      <c r="BK486" s="98"/>
      <c r="BL486" s="98"/>
      <c r="BM486" s="57"/>
    </row>
    <row r="487" spans="1:65" ht="11.25" x14ac:dyDescent="0.2">
      <c r="A487" s="57"/>
      <c r="B487" s="57"/>
      <c r="C487" s="57"/>
      <c r="D487" s="57"/>
      <c r="E487" s="57"/>
      <c r="F487" s="57"/>
      <c r="G487" s="57"/>
      <c r="H487" s="57"/>
      <c r="I487" s="57"/>
      <c r="J487" s="57"/>
      <c r="L487" s="57"/>
      <c r="M487" s="57"/>
      <c r="N487" s="57"/>
      <c r="O487" s="57"/>
      <c r="P487" s="57"/>
      <c r="Q487" s="57"/>
      <c r="R487" s="57"/>
      <c r="S487" s="57"/>
      <c r="T487" s="57"/>
      <c r="U487" s="57"/>
      <c r="V487" s="57"/>
      <c r="W487" s="57"/>
      <c r="X487" s="57"/>
      <c r="Y487" s="98"/>
      <c r="AA487" s="98"/>
      <c r="AR487" s="98"/>
      <c r="AS487" s="57"/>
      <c r="AU487" s="57"/>
      <c r="BF487" s="98"/>
      <c r="BG487" s="98"/>
      <c r="BH487" s="98"/>
      <c r="BI487" s="98"/>
      <c r="BJ487" s="98"/>
      <c r="BK487" s="98"/>
      <c r="BL487" s="98"/>
      <c r="BM487" s="57"/>
    </row>
    <row r="488" spans="1:65" ht="11.25" x14ac:dyDescent="0.2">
      <c r="A488" s="57"/>
      <c r="B488" s="57"/>
      <c r="C488" s="57"/>
      <c r="D488" s="57"/>
      <c r="E488" s="57"/>
      <c r="F488" s="57"/>
      <c r="G488" s="57"/>
      <c r="H488" s="57"/>
      <c r="I488" s="57"/>
      <c r="J488" s="57"/>
      <c r="L488" s="57"/>
      <c r="M488" s="57"/>
      <c r="N488" s="57"/>
      <c r="O488" s="57"/>
      <c r="P488" s="57"/>
      <c r="Q488" s="57"/>
      <c r="R488" s="57"/>
      <c r="S488" s="57"/>
      <c r="T488" s="57"/>
      <c r="U488" s="57"/>
      <c r="V488" s="57"/>
      <c r="W488" s="57"/>
      <c r="X488" s="57"/>
      <c r="Y488" s="98"/>
      <c r="AA488" s="98"/>
      <c r="AR488" s="98"/>
      <c r="AS488" s="57"/>
      <c r="AU488" s="57"/>
      <c r="BF488" s="98"/>
      <c r="BG488" s="98"/>
      <c r="BH488" s="98"/>
      <c r="BI488" s="98"/>
      <c r="BJ488" s="98"/>
      <c r="BK488" s="98"/>
      <c r="BL488" s="98"/>
      <c r="BM488" s="57"/>
    </row>
    <row r="489" spans="1:65" ht="11.25" x14ac:dyDescent="0.2">
      <c r="A489" s="57"/>
      <c r="B489" s="57"/>
      <c r="C489" s="57"/>
      <c r="D489" s="57"/>
      <c r="E489" s="57"/>
      <c r="F489" s="57"/>
      <c r="G489" s="57"/>
      <c r="H489" s="57"/>
      <c r="I489" s="57"/>
      <c r="J489" s="57"/>
      <c r="L489" s="57"/>
      <c r="M489" s="57"/>
      <c r="N489" s="57"/>
      <c r="O489" s="57"/>
      <c r="P489" s="57"/>
      <c r="Q489" s="57"/>
      <c r="R489" s="57"/>
      <c r="S489" s="57"/>
      <c r="T489" s="57"/>
      <c r="U489" s="57"/>
      <c r="V489" s="57"/>
      <c r="W489" s="57"/>
      <c r="X489" s="57"/>
      <c r="Y489" s="98"/>
      <c r="AA489" s="98"/>
      <c r="AR489" s="98"/>
      <c r="AS489" s="57"/>
      <c r="AU489" s="57"/>
      <c r="BF489" s="98"/>
      <c r="BG489" s="98"/>
      <c r="BH489" s="98"/>
      <c r="BI489" s="98"/>
      <c r="BJ489" s="98"/>
      <c r="BK489" s="98"/>
      <c r="BL489" s="98"/>
      <c r="BM489" s="57"/>
    </row>
    <row r="490" spans="1:65" ht="11.25" x14ac:dyDescent="0.2">
      <c r="A490" s="57"/>
      <c r="B490" s="57"/>
      <c r="C490" s="57"/>
      <c r="D490" s="57"/>
      <c r="E490" s="57"/>
      <c r="F490" s="57"/>
      <c r="G490" s="57"/>
      <c r="H490" s="57"/>
      <c r="I490" s="57"/>
      <c r="J490" s="57"/>
      <c r="L490" s="57"/>
      <c r="M490" s="57"/>
      <c r="N490" s="57"/>
      <c r="O490" s="57"/>
      <c r="P490" s="57"/>
      <c r="Q490" s="57"/>
      <c r="R490" s="57"/>
      <c r="S490" s="57"/>
      <c r="T490" s="57"/>
      <c r="U490" s="57"/>
      <c r="V490" s="57"/>
      <c r="W490" s="57"/>
      <c r="X490" s="57"/>
      <c r="Y490" s="98"/>
      <c r="AA490" s="98"/>
      <c r="AR490" s="98"/>
      <c r="AS490" s="57"/>
      <c r="AU490" s="57"/>
      <c r="BF490" s="98"/>
      <c r="BG490" s="98"/>
      <c r="BH490" s="98"/>
      <c r="BI490" s="98"/>
      <c r="BJ490" s="98"/>
      <c r="BK490" s="98"/>
      <c r="BL490" s="98"/>
      <c r="BM490" s="57"/>
    </row>
    <row r="491" spans="1:65" ht="11.25" x14ac:dyDescent="0.2">
      <c r="A491" s="57"/>
      <c r="B491" s="57"/>
      <c r="C491" s="57"/>
      <c r="D491" s="57"/>
      <c r="E491" s="57"/>
      <c r="F491" s="57"/>
      <c r="G491" s="57"/>
      <c r="H491" s="57"/>
      <c r="I491" s="57"/>
      <c r="J491" s="57"/>
      <c r="L491" s="57"/>
      <c r="M491" s="57"/>
      <c r="N491" s="57"/>
      <c r="O491" s="57"/>
      <c r="P491" s="57"/>
      <c r="Q491" s="57"/>
      <c r="R491" s="57"/>
      <c r="S491" s="57"/>
      <c r="T491" s="57"/>
      <c r="U491" s="57"/>
      <c r="V491" s="57"/>
      <c r="W491" s="57"/>
      <c r="X491" s="57"/>
      <c r="Y491" s="98"/>
      <c r="AA491" s="98"/>
      <c r="AR491" s="98"/>
      <c r="AS491" s="57"/>
      <c r="AU491" s="57"/>
      <c r="BF491" s="98"/>
      <c r="BG491" s="98"/>
      <c r="BH491" s="98"/>
      <c r="BI491" s="98"/>
      <c r="BJ491" s="98"/>
      <c r="BK491" s="98"/>
      <c r="BL491" s="98"/>
      <c r="BM491" s="57"/>
    </row>
    <row r="492" spans="1:65" ht="11.25" x14ac:dyDescent="0.2">
      <c r="A492" s="57"/>
      <c r="B492" s="57"/>
      <c r="C492" s="57"/>
      <c r="D492" s="57"/>
      <c r="E492" s="57"/>
      <c r="F492" s="57"/>
      <c r="G492" s="57"/>
      <c r="H492" s="57"/>
      <c r="I492" s="57"/>
      <c r="J492" s="57"/>
      <c r="L492" s="57"/>
      <c r="M492" s="57"/>
      <c r="N492" s="57"/>
      <c r="O492" s="57"/>
      <c r="P492" s="57"/>
      <c r="Q492" s="57"/>
      <c r="R492" s="57"/>
      <c r="S492" s="57"/>
      <c r="T492" s="57"/>
      <c r="U492" s="57"/>
      <c r="V492" s="57"/>
      <c r="W492" s="57"/>
      <c r="X492" s="57"/>
      <c r="Y492" s="98"/>
      <c r="AA492" s="98"/>
      <c r="AR492" s="98"/>
      <c r="AS492" s="57"/>
      <c r="AU492" s="57"/>
      <c r="BF492" s="98"/>
      <c r="BG492" s="98"/>
      <c r="BH492" s="98"/>
      <c r="BI492" s="98"/>
      <c r="BJ492" s="98"/>
      <c r="BK492" s="98"/>
      <c r="BL492" s="98"/>
      <c r="BM492" s="57"/>
    </row>
    <row r="493" spans="1:65" ht="11.25" x14ac:dyDescent="0.2">
      <c r="A493" s="57"/>
      <c r="B493" s="57"/>
      <c r="C493" s="57"/>
      <c r="D493" s="57"/>
      <c r="E493" s="57"/>
      <c r="F493" s="57"/>
      <c r="G493" s="57"/>
      <c r="H493" s="57"/>
      <c r="I493" s="57"/>
      <c r="J493" s="57"/>
      <c r="L493" s="57"/>
      <c r="M493" s="57"/>
      <c r="N493" s="57"/>
      <c r="O493" s="57"/>
      <c r="P493" s="57"/>
      <c r="Q493" s="57"/>
      <c r="R493" s="57"/>
      <c r="S493" s="57"/>
      <c r="T493" s="57"/>
      <c r="U493" s="57"/>
      <c r="V493" s="57"/>
      <c r="W493" s="57"/>
      <c r="X493" s="57"/>
      <c r="Y493" s="98"/>
      <c r="AA493" s="98"/>
      <c r="AR493" s="98"/>
      <c r="AS493" s="57"/>
      <c r="AU493" s="57"/>
      <c r="BF493" s="98"/>
      <c r="BG493" s="98"/>
      <c r="BH493" s="98"/>
      <c r="BI493" s="98"/>
      <c r="BJ493" s="98"/>
      <c r="BK493" s="98"/>
      <c r="BL493" s="98"/>
      <c r="BM493" s="57"/>
    </row>
    <row r="494" spans="1:65" ht="11.25" x14ac:dyDescent="0.2">
      <c r="A494" s="57"/>
      <c r="B494" s="57"/>
      <c r="C494" s="57"/>
      <c r="D494" s="57"/>
      <c r="E494" s="57"/>
      <c r="F494" s="57"/>
      <c r="G494" s="57"/>
      <c r="H494" s="57"/>
      <c r="I494" s="57"/>
      <c r="J494" s="57"/>
      <c r="L494" s="57"/>
      <c r="M494" s="57"/>
      <c r="N494" s="57"/>
      <c r="O494" s="57"/>
      <c r="P494" s="57"/>
      <c r="Q494" s="57"/>
      <c r="R494" s="57"/>
      <c r="S494" s="57"/>
      <c r="T494" s="57"/>
      <c r="U494" s="57"/>
      <c r="V494" s="57"/>
      <c r="W494" s="57"/>
      <c r="X494" s="57"/>
      <c r="Y494" s="98"/>
      <c r="AA494" s="98"/>
      <c r="AR494" s="98"/>
      <c r="AS494" s="57"/>
      <c r="AU494" s="57"/>
      <c r="BF494" s="98"/>
      <c r="BG494" s="98"/>
      <c r="BH494" s="98"/>
      <c r="BI494" s="98"/>
      <c r="BJ494" s="98"/>
      <c r="BK494" s="98"/>
      <c r="BL494" s="98"/>
      <c r="BM494" s="57"/>
    </row>
    <row r="495" spans="1:65" ht="11.25" x14ac:dyDescent="0.2">
      <c r="A495" s="57"/>
      <c r="B495" s="57"/>
      <c r="C495" s="57"/>
      <c r="D495" s="57"/>
      <c r="E495" s="57"/>
      <c r="F495" s="57"/>
      <c r="G495" s="57"/>
      <c r="H495" s="57"/>
      <c r="I495" s="57"/>
      <c r="J495" s="57"/>
      <c r="L495" s="57"/>
      <c r="M495" s="57"/>
      <c r="N495" s="57"/>
      <c r="O495" s="57"/>
      <c r="P495" s="57"/>
      <c r="Q495" s="57"/>
      <c r="R495" s="57"/>
      <c r="S495" s="57"/>
      <c r="T495" s="57"/>
      <c r="U495" s="57"/>
      <c r="V495" s="57"/>
      <c r="W495" s="57"/>
      <c r="X495" s="57"/>
      <c r="Y495" s="98"/>
      <c r="AA495" s="98"/>
      <c r="AR495" s="98"/>
      <c r="AS495" s="57"/>
      <c r="AU495" s="57"/>
      <c r="BF495" s="98"/>
      <c r="BG495" s="98"/>
      <c r="BH495" s="98"/>
      <c r="BI495" s="98"/>
      <c r="BJ495" s="98"/>
      <c r="BK495" s="98"/>
      <c r="BL495" s="98"/>
      <c r="BM495" s="57"/>
    </row>
    <row r="496" spans="1:65" ht="11.25" x14ac:dyDescent="0.2">
      <c r="A496" s="57"/>
      <c r="B496" s="57"/>
      <c r="C496" s="57"/>
      <c r="D496" s="57"/>
      <c r="E496" s="57"/>
      <c r="F496" s="57"/>
      <c r="G496" s="57"/>
      <c r="H496" s="57"/>
      <c r="I496" s="57"/>
      <c r="J496" s="57"/>
      <c r="L496" s="57"/>
      <c r="M496" s="57"/>
      <c r="N496" s="57"/>
      <c r="O496" s="57"/>
      <c r="P496" s="57"/>
      <c r="Q496" s="57"/>
      <c r="R496" s="57"/>
      <c r="S496" s="57"/>
      <c r="T496" s="57"/>
      <c r="U496" s="57"/>
      <c r="V496" s="57"/>
      <c r="W496" s="57"/>
      <c r="X496" s="57"/>
      <c r="Y496" s="98"/>
      <c r="AA496" s="98"/>
      <c r="AR496" s="98"/>
      <c r="AS496" s="57"/>
      <c r="AU496" s="57"/>
      <c r="BF496" s="98"/>
      <c r="BG496" s="98"/>
      <c r="BH496" s="98"/>
      <c r="BI496" s="98"/>
      <c r="BJ496" s="98"/>
      <c r="BK496" s="98"/>
      <c r="BL496" s="98"/>
      <c r="BM496" s="57"/>
    </row>
    <row r="497" spans="1:65" ht="11.25" x14ac:dyDescent="0.2">
      <c r="A497" s="57"/>
      <c r="B497" s="57"/>
      <c r="C497" s="57"/>
      <c r="D497" s="57"/>
      <c r="E497" s="57"/>
      <c r="F497" s="57"/>
      <c r="G497" s="57"/>
      <c r="H497" s="57"/>
      <c r="I497" s="57"/>
      <c r="J497" s="57"/>
      <c r="L497" s="57"/>
      <c r="M497" s="57"/>
      <c r="N497" s="57"/>
      <c r="O497" s="57"/>
      <c r="P497" s="57"/>
      <c r="Q497" s="57"/>
      <c r="R497" s="57"/>
      <c r="S497" s="57"/>
      <c r="T497" s="57"/>
      <c r="U497" s="57"/>
      <c r="V497" s="57"/>
      <c r="W497" s="57"/>
      <c r="X497" s="57"/>
      <c r="Y497" s="98"/>
      <c r="AA497" s="98"/>
      <c r="AR497" s="98"/>
      <c r="AS497" s="57"/>
      <c r="AU497" s="57"/>
      <c r="BF497" s="98"/>
      <c r="BG497" s="98"/>
      <c r="BH497" s="98"/>
      <c r="BI497" s="98"/>
      <c r="BJ497" s="98"/>
      <c r="BK497" s="98"/>
      <c r="BL497" s="98"/>
      <c r="BM497" s="57"/>
    </row>
    <row r="498" spans="1:65" ht="11.25" x14ac:dyDescent="0.2">
      <c r="A498" s="57"/>
      <c r="B498" s="57"/>
      <c r="C498" s="57"/>
      <c r="D498" s="57"/>
      <c r="E498" s="57"/>
      <c r="F498" s="57"/>
      <c r="G498" s="57"/>
      <c r="H498" s="57"/>
      <c r="I498" s="57"/>
      <c r="J498" s="57"/>
      <c r="L498" s="57"/>
      <c r="M498" s="57"/>
      <c r="N498" s="57"/>
      <c r="O498" s="57"/>
      <c r="P498" s="57"/>
      <c r="Q498" s="57"/>
      <c r="R498" s="57"/>
      <c r="S498" s="57"/>
      <c r="T498" s="57"/>
      <c r="U498" s="57"/>
      <c r="V498" s="57"/>
      <c r="W498" s="57"/>
      <c r="X498" s="57"/>
      <c r="Y498" s="98"/>
      <c r="AA498" s="98"/>
      <c r="AR498" s="98"/>
      <c r="AS498" s="57"/>
      <c r="AU498" s="57"/>
      <c r="BF498" s="98"/>
      <c r="BG498" s="98"/>
      <c r="BH498" s="98"/>
      <c r="BI498" s="98"/>
      <c r="BJ498" s="98"/>
      <c r="BK498" s="98"/>
      <c r="BL498" s="98"/>
      <c r="BM498" s="57"/>
    </row>
    <row r="499" spans="1:65" ht="11.25" x14ac:dyDescent="0.2">
      <c r="A499" s="57"/>
      <c r="B499" s="57"/>
      <c r="C499" s="57"/>
      <c r="D499" s="57"/>
      <c r="E499" s="57"/>
      <c r="F499" s="57"/>
      <c r="G499" s="57"/>
      <c r="H499" s="57"/>
      <c r="I499" s="57"/>
      <c r="J499" s="57"/>
      <c r="L499" s="57"/>
      <c r="M499" s="57"/>
      <c r="N499" s="57"/>
      <c r="O499" s="57"/>
      <c r="P499" s="57"/>
      <c r="Q499" s="57"/>
      <c r="R499" s="57"/>
      <c r="S499" s="57"/>
      <c r="T499" s="57"/>
      <c r="U499" s="57"/>
      <c r="V499" s="57"/>
      <c r="W499" s="57"/>
      <c r="X499" s="57"/>
      <c r="Y499" s="98"/>
      <c r="AA499" s="98"/>
      <c r="AR499" s="98"/>
      <c r="AS499" s="57"/>
      <c r="AU499" s="57"/>
      <c r="BF499" s="98"/>
      <c r="BG499" s="98"/>
      <c r="BH499" s="98"/>
      <c r="BI499" s="98"/>
      <c r="BJ499" s="98"/>
      <c r="BK499" s="98"/>
      <c r="BL499" s="98"/>
      <c r="BM499" s="57"/>
    </row>
    <row r="500" spans="1:65" ht="11.25" x14ac:dyDescent="0.2">
      <c r="A500" s="57"/>
      <c r="B500" s="57"/>
      <c r="C500" s="57"/>
      <c r="D500" s="57"/>
      <c r="E500" s="57"/>
      <c r="F500" s="57"/>
      <c r="G500" s="57"/>
      <c r="H500" s="57"/>
      <c r="I500" s="57"/>
      <c r="J500" s="57"/>
      <c r="L500" s="57"/>
      <c r="M500" s="57"/>
      <c r="N500" s="57"/>
      <c r="O500" s="57"/>
      <c r="P500" s="57"/>
      <c r="Q500" s="57"/>
      <c r="R500" s="57"/>
      <c r="S500" s="57"/>
      <c r="T500" s="57"/>
      <c r="U500" s="57"/>
      <c r="V500" s="57"/>
      <c r="W500" s="57"/>
      <c r="X500" s="57"/>
      <c r="Y500" s="98"/>
      <c r="AA500" s="98"/>
      <c r="AR500" s="98"/>
      <c r="AS500" s="57"/>
      <c r="AU500" s="57"/>
      <c r="BF500" s="98"/>
      <c r="BG500" s="98"/>
      <c r="BH500" s="98"/>
      <c r="BI500" s="98"/>
      <c r="BJ500" s="98"/>
      <c r="BK500" s="98"/>
      <c r="BL500" s="98"/>
      <c r="BM500" s="57"/>
    </row>
    <row r="501" spans="1:65" ht="11.25" x14ac:dyDescent="0.2">
      <c r="A501" s="57"/>
      <c r="B501" s="57"/>
      <c r="C501" s="57"/>
      <c r="D501" s="57"/>
      <c r="E501" s="57"/>
      <c r="F501" s="57"/>
      <c r="G501" s="57"/>
      <c r="H501" s="57"/>
      <c r="I501" s="57"/>
      <c r="J501" s="57"/>
      <c r="L501" s="57"/>
      <c r="M501" s="57"/>
      <c r="N501" s="57"/>
      <c r="O501" s="57"/>
      <c r="P501" s="57"/>
      <c r="Q501" s="57"/>
      <c r="R501" s="57"/>
      <c r="S501" s="57"/>
      <c r="T501" s="57"/>
      <c r="U501" s="57"/>
      <c r="V501" s="57"/>
      <c r="W501" s="57"/>
      <c r="X501" s="57"/>
      <c r="Y501" s="98"/>
      <c r="AA501" s="98"/>
      <c r="AR501" s="98"/>
      <c r="AS501" s="57"/>
      <c r="AU501" s="57"/>
      <c r="BF501" s="98"/>
      <c r="BG501" s="98"/>
      <c r="BH501" s="98"/>
      <c r="BI501" s="98"/>
      <c r="BJ501" s="98"/>
      <c r="BK501" s="98"/>
      <c r="BL501" s="98"/>
      <c r="BM501" s="57"/>
    </row>
    <row r="502" spans="1:65" ht="11.25" x14ac:dyDescent="0.2">
      <c r="A502" s="57"/>
      <c r="B502" s="57"/>
      <c r="C502" s="57"/>
      <c r="D502" s="57"/>
      <c r="E502" s="57"/>
      <c r="F502" s="57"/>
      <c r="G502" s="57"/>
      <c r="H502" s="57"/>
      <c r="I502" s="57"/>
      <c r="J502" s="57"/>
      <c r="L502" s="57"/>
      <c r="M502" s="57"/>
      <c r="N502" s="57"/>
      <c r="O502" s="57"/>
      <c r="P502" s="57"/>
      <c r="Q502" s="57"/>
      <c r="R502" s="57"/>
      <c r="S502" s="57"/>
      <c r="T502" s="57"/>
      <c r="U502" s="57"/>
      <c r="V502" s="57"/>
      <c r="W502" s="57"/>
      <c r="X502" s="57"/>
      <c r="Y502" s="98"/>
      <c r="AA502" s="98"/>
      <c r="AR502" s="98"/>
      <c r="AS502" s="57"/>
      <c r="AU502" s="57"/>
      <c r="BF502" s="98"/>
      <c r="BG502" s="98"/>
      <c r="BH502" s="98"/>
      <c r="BI502" s="98"/>
      <c r="BJ502" s="98"/>
      <c r="BK502" s="98"/>
      <c r="BL502" s="98"/>
      <c r="BM502" s="57"/>
    </row>
    <row r="503" spans="1:65" ht="11.25" x14ac:dyDescent="0.2">
      <c r="A503" s="57"/>
      <c r="B503" s="57"/>
      <c r="C503" s="57"/>
      <c r="D503" s="57"/>
      <c r="E503" s="57"/>
      <c r="F503" s="57"/>
      <c r="G503" s="57"/>
      <c r="H503" s="57"/>
      <c r="I503" s="57"/>
      <c r="J503" s="57"/>
      <c r="L503" s="57"/>
      <c r="M503" s="57"/>
      <c r="N503" s="57"/>
      <c r="O503" s="57"/>
      <c r="P503" s="57"/>
      <c r="Q503" s="57"/>
      <c r="R503" s="57"/>
      <c r="S503" s="57"/>
      <c r="T503" s="57"/>
      <c r="U503" s="57"/>
      <c r="V503" s="57"/>
      <c r="W503" s="57"/>
      <c r="X503" s="57"/>
      <c r="Y503" s="98"/>
      <c r="AA503" s="98"/>
      <c r="AR503" s="98"/>
      <c r="AS503" s="57"/>
      <c r="AU503" s="57"/>
      <c r="BF503" s="98"/>
      <c r="BG503" s="98"/>
      <c r="BH503" s="98"/>
      <c r="BI503" s="98"/>
      <c r="BJ503" s="98"/>
      <c r="BK503" s="98"/>
      <c r="BL503" s="98"/>
      <c r="BM503" s="57"/>
    </row>
    <row r="504" spans="1:65" ht="11.25" x14ac:dyDescent="0.2">
      <c r="A504" s="57"/>
      <c r="B504" s="57"/>
      <c r="C504" s="57"/>
      <c r="D504" s="57"/>
      <c r="E504" s="57"/>
      <c r="F504" s="57"/>
      <c r="G504" s="57"/>
      <c r="H504" s="57"/>
      <c r="I504" s="57"/>
      <c r="J504" s="57"/>
      <c r="L504" s="57"/>
      <c r="M504" s="57"/>
      <c r="N504" s="57"/>
      <c r="O504" s="57"/>
      <c r="P504" s="57"/>
      <c r="Q504" s="57"/>
      <c r="R504" s="57"/>
      <c r="S504" s="57"/>
      <c r="T504" s="57"/>
      <c r="U504" s="57"/>
      <c r="V504" s="57"/>
      <c r="W504" s="57"/>
      <c r="X504" s="57"/>
      <c r="Y504" s="98"/>
      <c r="AA504" s="98"/>
      <c r="AR504" s="98"/>
      <c r="AS504" s="57"/>
      <c r="AU504" s="57"/>
      <c r="BF504" s="98"/>
      <c r="BG504" s="98"/>
      <c r="BH504" s="98"/>
      <c r="BI504" s="98"/>
      <c r="BJ504" s="98"/>
      <c r="BK504" s="98"/>
      <c r="BL504" s="98"/>
      <c r="BM504" s="57"/>
    </row>
    <row r="505" spans="1:65" ht="11.25" x14ac:dyDescent="0.2">
      <c r="A505" s="57"/>
      <c r="B505" s="57"/>
      <c r="C505" s="57"/>
      <c r="D505" s="57"/>
      <c r="E505" s="57"/>
      <c r="F505" s="57"/>
      <c r="G505" s="57"/>
      <c r="H505" s="57"/>
      <c r="I505" s="57"/>
      <c r="J505" s="57"/>
      <c r="L505" s="57"/>
      <c r="M505" s="57"/>
      <c r="N505" s="57"/>
      <c r="O505" s="57"/>
      <c r="P505" s="57"/>
      <c r="Q505" s="57"/>
      <c r="R505" s="57"/>
      <c r="S505" s="57"/>
      <c r="T505" s="57"/>
      <c r="U505" s="57"/>
      <c r="V505" s="57"/>
      <c r="W505" s="57"/>
      <c r="X505" s="57"/>
      <c r="Y505" s="98"/>
      <c r="AA505" s="98"/>
      <c r="AR505" s="98"/>
      <c r="AS505" s="57"/>
      <c r="AU505" s="57"/>
      <c r="BF505" s="98"/>
      <c r="BG505" s="98"/>
      <c r="BH505" s="98"/>
      <c r="BI505" s="98"/>
      <c r="BJ505" s="98"/>
      <c r="BK505" s="98"/>
      <c r="BL505" s="98"/>
      <c r="BM505" s="57"/>
    </row>
    <row r="506" spans="1:65" ht="11.25" x14ac:dyDescent="0.2">
      <c r="A506" s="57"/>
      <c r="B506" s="57"/>
      <c r="C506" s="57"/>
      <c r="D506" s="57"/>
      <c r="E506" s="57"/>
      <c r="F506" s="57"/>
      <c r="G506" s="57"/>
      <c r="H506" s="57"/>
      <c r="I506" s="57"/>
      <c r="J506" s="57"/>
      <c r="L506" s="57"/>
      <c r="M506" s="57"/>
      <c r="N506" s="57"/>
      <c r="O506" s="57"/>
      <c r="P506" s="57"/>
      <c r="Q506" s="57"/>
      <c r="R506" s="57"/>
      <c r="S506" s="57"/>
      <c r="T506" s="57"/>
      <c r="U506" s="57"/>
      <c r="V506" s="57"/>
      <c r="W506" s="57"/>
      <c r="X506" s="57"/>
      <c r="Y506" s="98"/>
      <c r="AA506" s="98"/>
      <c r="AR506" s="98"/>
      <c r="AS506" s="57"/>
      <c r="AU506" s="57"/>
      <c r="BF506" s="98"/>
      <c r="BG506" s="98"/>
      <c r="BH506" s="98"/>
      <c r="BI506" s="98"/>
      <c r="BJ506" s="98"/>
      <c r="BK506" s="98"/>
      <c r="BL506" s="98"/>
      <c r="BM506" s="57"/>
    </row>
    <row r="507" spans="1:65" ht="11.25" x14ac:dyDescent="0.2">
      <c r="A507" s="57"/>
      <c r="B507" s="57"/>
      <c r="C507" s="57"/>
      <c r="D507" s="57"/>
      <c r="E507" s="57"/>
      <c r="F507" s="57"/>
      <c r="G507" s="57"/>
      <c r="H507" s="57"/>
      <c r="I507" s="57"/>
      <c r="J507" s="57"/>
      <c r="L507" s="57"/>
      <c r="M507" s="57"/>
      <c r="N507" s="57"/>
      <c r="O507" s="57"/>
      <c r="P507" s="57"/>
      <c r="Q507" s="57"/>
      <c r="R507" s="57"/>
      <c r="S507" s="57"/>
      <c r="T507" s="57"/>
      <c r="U507" s="57"/>
      <c r="V507" s="57"/>
      <c r="W507" s="57"/>
      <c r="X507" s="57"/>
      <c r="Y507" s="98"/>
      <c r="AA507" s="98"/>
      <c r="AR507" s="98"/>
      <c r="AS507" s="57"/>
      <c r="AU507" s="57"/>
      <c r="BF507" s="98"/>
      <c r="BG507" s="98"/>
      <c r="BH507" s="98"/>
      <c r="BI507" s="98"/>
      <c r="BJ507" s="98"/>
      <c r="BK507" s="98"/>
      <c r="BL507" s="98"/>
      <c r="BM507" s="57"/>
    </row>
    <row r="508" spans="1:65" ht="11.25" x14ac:dyDescent="0.2">
      <c r="A508" s="57"/>
      <c r="B508" s="57"/>
      <c r="C508" s="57"/>
      <c r="D508" s="57"/>
      <c r="E508" s="57"/>
      <c r="F508" s="57"/>
      <c r="G508" s="57"/>
      <c r="H508" s="57"/>
      <c r="I508" s="57"/>
      <c r="J508" s="57"/>
      <c r="L508" s="57"/>
      <c r="M508" s="57"/>
      <c r="N508" s="57"/>
      <c r="O508" s="57"/>
      <c r="P508" s="57"/>
      <c r="Q508" s="57"/>
      <c r="R508" s="57"/>
      <c r="S508" s="57"/>
      <c r="T508" s="57"/>
      <c r="U508" s="57"/>
      <c r="V508" s="57"/>
      <c r="W508" s="57"/>
      <c r="X508" s="57"/>
      <c r="Y508" s="98"/>
      <c r="AA508" s="98"/>
      <c r="AR508" s="98"/>
      <c r="AS508" s="57"/>
      <c r="AU508" s="57"/>
      <c r="BF508" s="98"/>
      <c r="BG508" s="98"/>
      <c r="BH508" s="98"/>
      <c r="BI508" s="98"/>
      <c r="BJ508" s="98"/>
      <c r="BK508" s="98"/>
      <c r="BL508" s="98"/>
      <c r="BM508" s="57"/>
    </row>
    <row r="509" spans="1:65" ht="11.25" x14ac:dyDescent="0.2">
      <c r="A509" s="57"/>
      <c r="B509" s="57"/>
      <c r="C509" s="57"/>
      <c r="D509" s="57"/>
      <c r="E509" s="57"/>
      <c r="F509" s="57"/>
      <c r="G509" s="57"/>
      <c r="H509" s="57"/>
      <c r="I509" s="57"/>
      <c r="J509" s="57"/>
      <c r="L509" s="57"/>
      <c r="M509" s="57"/>
      <c r="N509" s="57"/>
      <c r="O509" s="57"/>
      <c r="P509" s="57"/>
      <c r="Q509" s="57"/>
      <c r="R509" s="57"/>
      <c r="S509" s="57"/>
      <c r="T509" s="57"/>
      <c r="U509" s="57"/>
      <c r="V509" s="57"/>
      <c r="W509" s="57"/>
      <c r="X509" s="57"/>
      <c r="Y509" s="98"/>
      <c r="AA509" s="98"/>
      <c r="AR509" s="98"/>
      <c r="AS509" s="57"/>
      <c r="AU509" s="57"/>
      <c r="BF509" s="98"/>
      <c r="BG509" s="98"/>
      <c r="BH509" s="98"/>
      <c r="BI509" s="98"/>
      <c r="BJ509" s="98"/>
      <c r="BK509" s="98"/>
      <c r="BL509" s="98"/>
      <c r="BM509" s="57"/>
    </row>
    <row r="510" spans="1:65" ht="11.25" x14ac:dyDescent="0.2">
      <c r="A510" s="57"/>
      <c r="B510" s="57"/>
      <c r="C510" s="57"/>
      <c r="D510" s="57"/>
      <c r="E510" s="57"/>
      <c r="F510" s="57"/>
      <c r="G510" s="57"/>
      <c r="H510" s="57"/>
      <c r="I510" s="57"/>
      <c r="J510" s="57"/>
      <c r="L510" s="57"/>
      <c r="M510" s="57"/>
      <c r="N510" s="57"/>
      <c r="O510" s="57"/>
      <c r="P510" s="57"/>
      <c r="Q510" s="57"/>
      <c r="R510" s="57"/>
      <c r="S510" s="57"/>
      <c r="T510" s="57"/>
      <c r="U510" s="57"/>
      <c r="V510" s="57"/>
      <c r="W510" s="57"/>
      <c r="X510" s="57"/>
      <c r="Y510" s="98"/>
      <c r="AA510" s="98"/>
      <c r="AR510" s="98"/>
      <c r="AS510" s="57"/>
      <c r="AU510" s="57"/>
      <c r="BF510" s="98"/>
      <c r="BG510" s="98"/>
      <c r="BH510" s="98"/>
      <c r="BI510" s="98"/>
      <c r="BJ510" s="98"/>
      <c r="BK510" s="98"/>
      <c r="BL510" s="98"/>
      <c r="BM510" s="57"/>
    </row>
    <row r="511" spans="1:65" ht="11.25" x14ac:dyDescent="0.2">
      <c r="A511" s="57"/>
      <c r="B511" s="57"/>
      <c r="C511" s="57"/>
      <c r="D511" s="57"/>
      <c r="E511" s="57"/>
      <c r="F511" s="57"/>
      <c r="G511" s="57"/>
      <c r="H511" s="57"/>
      <c r="I511" s="57"/>
      <c r="J511" s="57"/>
      <c r="L511" s="57"/>
      <c r="M511" s="57"/>
      <c r="N511" s="57"/>
      <c r="O511" s="57"/>
      <c r="P511" s="57"/>
      <c r="Q511" s="57"/>
      <c r="R511" s="57"/>
      <c r="S511" s="57"/>
      <c r="T511" s="57"/>
      <c r="U511" s="57"/>
      <c r="V511" s="57"/>
      <c r="W511" s="57"/>
      <c r="X511" s="57"/>
      <c r="Y511" s="98"/>
      <c r="AA511" s="98"/>
      <c r="AR511" s="98"/>
      <c r="AS511" s="57"/>
      <c r="AU511" s="57"/>
      <c r="BF511" s="98"/>
      <c r="BG511" s="98"/>
      <c r="BH511" s="98"/>
      <c r="BI511" s="98"/>
      <c r="BJ511" s="98"/>
      <c r="BK511" s="98"/>
      <c r="BL511" s="98"/>
      <c r="BM511" s="57"/>
    </row>
    <row r="512" spans="1:65" ht="11.25" x14ac:dyDescent="0.2">
      <c r="A512" s="57"/>
      <c r="B512" s="57"/>
      <c r="C512" s="57"/>
      <c r="D512" s="57"/>
      <c r="E512" s="57"/>
      <c r="F512" s="57"/>
      <c r="G512" s="57"/>
      <c r="H512" s="57"/>
      <c r="I512" s="57"/>
      <c r="J512" s="57"/>
      <c r="L512" s="57"/>
      <c r="M512" s="57"/>
      <c r="N512" s="57"/>
      <c r="O512" s="57"/>
      <c r="P512" s="57"/>
      <c r="Q512" s="57"/>
      <c r="R512" s="57"/>
      <c r="S512" s="57"/>
      <c r="T512" s="57"/>
      <c r="U512" s="57"/>
      <c r="V512" s="57"/>
      <c r="W512" s="57"/>
      <c r="X512" s="57"/>
      <c r="Y512" s="98"/>
      <c r="AA512" s="98"/>
      <c r="AR512" s="98"/>
      <c r="AS512" s="57"/>
      <c r="AU512" s="57"/>
      <c r="BF512" s="98"/>
      <c r="BG512" s="98"/>
      <c r="BH512" s="98"/>
      <c r="BI512" s="98"/>
      <c r="BJ512" s="98"/>
      <c r="BK512" s="98"/>
      <c r="BL512" s="98"/>
      <c r="BM512" s="57"/>
    </row>
    <row r="513" spans="1:65" ht="11.25" x14ac:dyDescent="0.2">
      <c r="A513" s="57"/>
      <c r="B513" s="57"/>
      <c r="C513" s="57"/>
      <c r="D513" s="57"/>
      <c r="E513" s="57"/>
      <c r="F513" s="57"/>
      <c r="G513" s="57"/>
      <c r="H513" s="57"/>
      <c r="I513" s="57"/>
      <c r="J513" s="57"/>
      <c r="L513" s="57"/>
      <c r="M513" s="57"/>
      <c r="N513" s="57"/>
      <c r="O513" s="57"/>
      <c r="P513" s="57"/>
      <c r="Q513" s="57"/>
      <c r="R513" s="57"/>
      <c r="S513" s="57"/>
      <c r="T513" s="57"/>
      <c r="U513" s="57"/>
      <c r="V513" s="57"/>
      <c r="W513" s="57"/>
      <c r="X513" s="57"/>
      <c r="Y513" s="98"/>
      <c r="AA513" s="98"/>
      <c r="AR513" s="98"/>
      <c r="AS513" s="57"/>
      <c r="AU513" s="57"/>
      <c r="BF513" s="98"/>
      <c r="BG513" s="98"/>
      <c r="BH513" s="98"/>
      <c r="BI513" s="98"/>
      <c r="BJ513" s="98"/>
      <c r="BK513" s="98"/>
      <c r="BL513" s="98"/>
      <c r="BM513" s="57"/>
    </row>
    <row r="514" spans="1:65" ht="11.25" x14ac:dyDescent="0.2">
      <c r="A514" s="57"/>
      <c r="B514" s="57"/>
      <c r="C514" s="57"/>
      <c r="D514" s="57"/>
      <c r="E514" s="57"/>
      <c r="F514" s="57"/>
      <c r="G514" s="57"/>
      <c r="H514" s="57"/>
      <c r="I514" s="57"/>
      <c r="J514" s="57"/>
      <c r="L514" s="57"/>
      <c r="M514" s="57"/>
      <c r="N514" s="57"/>
      <c r="O514" s="57"/>
      <c r="P514" s="57"/>
      <c r="Q514" s="57"/>
      <c r="R514" s="57"/>
      <c r="S514" s="57"/>
      <c r="T514" s="57"/>
      <c r="U514" s="57"/>
      <c r="V514" s="57"/>
      <c r="W514" s="57"/>
      <c r="X514" s="57"/>
      <c r="Y514" s="98"/>
      <c r="AA514" s="98"/>
      <c r="AR514" s="98"/>
      <c r="AS514" s="57"/>
      <c r="AU514" s="57"/>
      <c r="BF514" s="98"/>
      <c r="BG514" s="98"/>
      <c r="BH514" s="98"/>
      <c r="BI514" s="98"/>
      <c r="BJ514" s="98"/>
      <c r="BK514" s="98"/>
      <c r="BL514" s="98"/>
      <c r="BM514" s="57"/>
    </row>
    <row r="515" spans="1:65" ht="11.25" x14ac:dyDescent="0.2">
      <c r="A515" s="57"/>
      <c r="B515" s="57"/>
      <c r="C515" s="57"/>
      <c r="D515" s="57"/>
      <c r="E515" s="57"/>
      <c r="F515" s="57"/>
      <c r="G515" s="57"/>
      <c r="H515" s="57"/>
      <c r="I515" s="57"/>
      <c r="J515" s="57"/>
      <c r="L515" s="57"/>
      <c r="M515" s="57"/>
      <c r="N515" s="57"/>
      <c r="O515" s="57"/>
      <c r="P515" s="57"/>
      <c r="Q515" s="57"/>
      <c r="R515" s="57"/>
      <c r="S515" s="57"/>
      <c r="T515" s="57"/>
      <c r="U515" s="57"/>
      <c r="V515" s="57"/>
      <c r="W515" s="57"/>
      <c r="X515" s="57"/>
      <c r="Y515" s="98"/>
      <c r="AA515" s="98"/>
      <c r="AR515" s="98"/>
      <c r="AS515" s="57"/>
      <c r="AU515" s="57"/>
      <c r="BF515" s="98"/>
      <c r="BG515" s="98"/>
      <c r="BH515" s="98"/>
      <c r="BI515" s="98"/>
      <c r="BJ515" s="98"/>
      <c r="BK515" s="98"/>
      <c r="BL515" s="98"/>
      <c r="BM515" s="57"/>
    </row>
    <row r="516" spans="1:65" ht="11.25" x14ac:dyDescent="0.2">
      <c r="A516" s="57"/>
      <c r="B516" s="57"/>
      <c r="C516" s="57"/>
      <c r="D516" s="57"/>
      <c r="E516" s="57"/>
      <c r="F516" s="57"/>
      <c r="G516" s="57"/>
      <c r="H516" s="57"/>
      <c r="I516" s="57"/>
      <c r="J516" s="57"/>
      <c r="L516" s="57"/>
      <c r="M516" s="57"/>
      <c r="N516" s="57"/>
      <c r="O516" s="57"/>
      <c r="P516" s="57"/>
      <c r="Q516" s="57"/>
      <c r="R516" s="57"/>
      <c r="S516" s="57"/>
      <c r="T516" s="57"/>
      <c r="U516" s="57"/>
      <c r="V516" s="57"/>
      <c r="W516" s="57"/>
      <c r="X516" s="57"/>
      <c r="Y516" s="98"/>
      <c r="AA516" s="98"/>
      <c r="AR516" s="98"/>
      <c r="AS516" s="57"/>
      <c r="AU516" s="57"/>
      <c r="BF516" s="98"/>
      <c r="BG516" s="98"/>
      <c r="BH516" s="98"/>
      <c r="BI516" s="98"/>
      <c r="BJ516" s="98"/>
      <c r="BK516" s="98"/>
      <c r="BL516" s="98"/>
      <c r="BM516" s="57"/>
    </row>
    <row r="517" spans="1:65" ht="11.25" x14ac:dyDescent="0.2">
      <c r="A517" s="57"/>
      <c r="B517" s="57"/>
      <c r="C517" s="57"/>
      <c r="D517" s="57"/>
      <c r="E517" s="57"/>
      <c r="F517" s="57"/>
      <c r="G517" s="57"/>
      <c r="H517" s="57"/>
      <c r="I517" s="57"/>
      <c r="J517" s="57"/>
      <c r="L517" s="57"/>
      <c r="M517" s="57"/>
      <c r="N517" s="57"/>
      <c r="O517" s="57"/>
      <c r="P517" s="57"/>
      <c r="Q517" s="57"/>
      <c r="R517" s="57"/>
      <c r="S517" s="57"/>
      <c r="T517" s="57"/>
      <c r="U517" s="57"/>
      <c r="V517" s="57"/>
      <c r="W517" s="57"/>
      <c r="X517" s="57"/>
      <c r="Y517" s="98"/>
      <c r="AA517" s="98"/>
      <c r="AR517" s="98"/>
      <c r="AS517" s="57"/>
      <c r="AU517" s="57"/>
      <c r="BF517" s="98"/>
      <c r="BG517" s="98"/>
      <c r="BH517" s="98"/>
      <c r="BI517" s="98"/>
      <c r="BJ517" s="98"/>
      <c r="BK517" s="98"/>
      <c r="BL517" s="98"/>
      <c r="BM517" s="57"/>
    </row>
    <row r="518" spans="1:65" ht="11.25" x14ac:dyDescent="0.2">
      <c r="A518" s="57"/>
      <c r="B518" s="57"/>
      <c r="C518" s="57"/>
      <c r="D518" s="57"/>
      <c r="E518" s="57"/>
      <c r="F518" s="57"/>
      <c r="G518" s="57"/>
      <c r="H518" s="57"/>
      <c r="I518" s="57"/>
      <c r="J518" s="57"/>
      <c r="L518" s="57"/>
      <c r="M518" s="57"/>
      <c r="N518" s="57"/>
      <c r="O518" s="57"/>
      <c r="P518" s="57"/>
      <c r="Q518" s="57"/>
      <c r="R518" s="57"/>
      <c r="S518" s="57"/>
      <c r="T518" s="57"/>
      <c r="U518" s="57"/>
      <c r="V518" s="57"/>
      <c r="W518" s="57"/>
      <c r="X518" s="57"/>
      <c r="Y518" s="98"/>
      <c r="AA518" s="98"/>
      <c r="AR518" s="98"/>
      <c r="AS518" s="57"/>
      <c r="AU518" s="57"/>
      <c r="BF518" s="98"/>
      <c r="BG518" s="98"/>
      <c r="BH518" s="98"/>
      <c r="BI518" s="98"/>
      <c r="BJ518" s="98"/>
      <c r="BK518" s="98"/>
      <c r="BL518" s="98"/>
      <c r="BM518" s="57"/>
    </row>
    <row r="519" spans="1:65" ht="11.25" x14ac:dyDescent="0.2">
      <c r="A519" s="57"/>
      <c r="B519" s="57"/>
      <c r="C519" s="57"/>
      <c r="D519" s="57"/>
      <c r="E519" s="57"/>
      <c r="F519" s="57"/>
      <c r="G519" s="57"/>
      <c r="H519" s="57"/>
      <c r="I519" s="57"/>
      <c r="J519" s="57"/>
      <c r="L519" s="57"/>
      <c r="M519" s="57"/>
      <c r="N519" s="57"/>
      <c r="O519" s="57"/>
      <c r="P519" s="57"/>
      <c r="Q519" s="57"/>
      <c r="R519" s="57"/>
      <c r="S519" s="57"/>
      <c r="T519" s="57"/>
      <c r="U519" s="57"/>
      <c r="V519" s="57"/>
      <c r="W519" s="57"/>
      <c r="X519" s="57"/>
      <c r="Y519" s="98"/>
      <c r="AA519" s="98"/>
      <c r="AR519" s="98"/>
      <c r="AS519" s="57"/>
      <c r="AU519" s="57"/>
      <c r="BF519" s="98"/>
      <c r="BG519" s="98"/>
      <c r="BH519" s="98"/>
      <c r="BI519" s="98"/>
      <c r="BJ519" s="98"/>
      <c r="BK519" s="98"/>
      <c r="BL519" s="98"/>
      <c r="BM519" s="57"/>
    </row>
    <row r="520" spans="1:65" ht="11.25" x14ac:dyDescent="0.2">
      <c r="A520" s="57"/>
      <c r="B520" s="57"/>
      <c r="C520" s="57"/>
      <c r="D520" s="57"/>
      <c r="E520" s="57"/>
      <c r="F520" s="57"/>
      <c r="G520" s="57"/>
      <c r="H520" s="57"/>
      <c r="I520" s="57"/>
      <c r="J520" s="57"/>
      <c r="L520" s="57"/>
      <c r="M520" s="57"/>
      <c r="N520" s="57"/>
      <c r="O520" s="57"/>
      <c r="P520" s="57"/>
      <c r="Q520" s="57"/>
      <c r="R520" s="57"/>
      <c r="S520" s="57"/>
      <c r="T520" s="57"/>
      <c r="U520" s="57"/>
      <c r="V520" s="57"/>
      <c r="W520" s="57"/>
      <c r="X520" s="57"/>
      <c r="Y520" s="98"/>
      <c r="AA520" s="98"/>
      <c r="AR520" s="98"/>
      <c r="AS520" s="57"/>
      <c r="AU520" s="57"/>
      <c r="BF520" s="98"/>
      <c r="BG520" s="98"/>
      <c r="BH520" s="98"/>
      <c r="BI520" s="98"/>
      <c r="BJ520" s="98"/>
      <c r="BK520" s="98"/>
      <c r="BL520" s="98"/>
      <c r="BM520" s="57"/>
    </row>
    <row r="521" spans="1:65" ht="11.25" x14ac:dyDescent="0.2">
      <c r="A521" s="57"/>
      <c r="B521" s="57"/>
      <c r="C521" s="57"/>
      <c r="D521" s="57"/>
      <c r="E521" s="57"/>
      <c r="F521" s="57"/>
      <c r="G521" s="57"/>
      <c r="H521" s="57"/>
      <c r="I521" s="57"/>
      <c r="J521" s="57"/>
      <c r="L521" s="57"/>
      <c r="M521" s="57"/>
      <c r="N521" s="57"/>
      <c r="O521" s="57"/>
      <c r="P521" s="57"/>
      <c r="Q521" s="57"/>
      <c r="R521" s="57"/>
      <c r="S521" s="57"/>
      <c r="T521" s="57"/>
      <c r="U521" s="57"/>
      <c r="V521" s="57"/>
      <c r="W521" s="57"/>
      <c r="X521" s="57"/>
      <c r="Y521" s="98"/>
      <c r="AA521" s="98"/>
      <c r="AR521" s="98"/>
      <c r="AS521" s="57"/>
      <c r="AU521" s="57"/>
      <c r="BF521" s="98"/>
      <c r="BG521" s="98"/>
      <c r="BH521" s="98"/>
      <c r="BI521" s="98"/>
      <c r="BJ521" s="98"/>
      <c r="BK521" s="98"/>
      <c r="BL521" s="98"/>
      <c r="BM521" s="57"/>
    </row>
    <row r="522" spans="1:65" ht="11.25" x14ac:dyDescent="0.2">
      <c r="A522" s="57"/>
      <c r="B522" s="57"/>
      <c r="C522" s="57"/>
      <c r="D522" s="57"/>
      <c r="E522" s="57"/>
      <c r="F522" s="57"/>
      <c r="G522" s="57"/>
      <c r="H522" s="57"/>
      <c r="I522" s="57"/>
      <c r="J522" s="57"/>
      <c r="L522" s="57"/>
      <c r="M522" s="57"/>
      <c r="N522" s="57"/>
      <c r="O522" s="57"/>
      <c r="P522" s="57"/>
      <c r="Q522" s="57"/>
      <c r="R522" s="57"/>
      <c r="S522" s="57"/>
      <c r="T522" s="57"/>
      <c r="U522" s="57"/>
      <c r="V522" s="57"/>
      <c r="W522" s="57"/>
      <c r="X522" s="57"/>
      <c r="Y522" s="98"/>
      <c r="AA522" s="98"/>
      <c r="AR522" s="98"/>
      <c r="AS522" s="57"/>
      <c r="AU522" s="57"/>
      <c r="BF522" s="98"/>
      <c r="BG522" s="98"/>
      <c r="BH522" s="98"/>
      <c r="BI522" s="98"/>
      <c r="BJ522" s="98"/>
      <c r="BK522" s="98"/>
      <c r="BL522" s="98"/>
      <c r="BM522" s="57"/>
    </row>
    <row r="523" spans="1:65" ht="11.25" x14ac:dyDescent="0.2">
      <c r="A523" s="57"/>
      <c r="B523" s="57"/>
      <c r="C523" s="57"/>
      <c r="D523" s="57"/>
      <c r="E523" s="57"/>
      <c r="F523" s="57"/>
      <c r="G523" s="57"/>
      <c r="H523" s="57"/>
      <c r="I523" s="57"/>
      <c r="J523" s="57"/>
      <c r="L523" s="57"/>
      <c r="M523" s="57"/>
      <c r="N523" s="57"/>
      <c r="O523" s="57"/>
      <c r="P523" s="57"/>
      <c r="Q523" s="57"/>
      <c r="R523" s="57"/>
      <c r="S523" s="57"/>
      <c r="T523" s="57"/>
      <c r="U523" s="57"/>
      <c r="V523" s="57"/>
      <c r="W523" s="57"/>
      <c r="X523" s="57"/>
      <c r="Y523" s="98"/>
      <c r="AA523" s="98"/>
      <c r="AR523" s="98"/>
      <c r="AS523" s="57"/>
      <c r="AU523" s="57"/>
      <c r="BF523" s="98"/>
      <c r="BG523" s="98"/>
      <c r="BH523" s="98"/>
      <c r="BI523" s="98"/>
      <c r="BJ523" s="98"/>
      <c r="BK523" s="98"/>
      <c r="BL523" s="98"/>
      <c r="BM523" s="57"/>
    </row>
    <row r="524" spans="1:65" ht="11.25" x14ac:dyDescent="0.2">
      <c r="A524" s="57"/>
      <c r="B524" s="57"/>
      <c r="C524" s="57"/>
      <c r="D524" s="57"/>
      <c r="E524" s="57"/>
      <c r="F524" s="57"/>
      <c r="G524" s="57"/>
      <c r="H524" s="57"/>
      <c r="I524" s="57"/>
      <c r="J524" s="57"/>
      <c r="L524" s="57"/>
      <c r="M524" s="57"/>
      <c r="N524" s="57"/>
      <c r="O524" s="57"/>
      <c r="P524" s="57"/>
      <c r="Q524" s="57"/>
      <c r="R524" s="57"/>
      <c r="S524" s="57"/>
      <c r="T524" s="57"/>
      <c r="U524" s="57"/>
      <c r="V524" s="57"/>
      <c r="W524" s="57"/>
      <c r="X524" s="57"/>
      <c r="Y524" s="98"/>
      <c r="AA524" s="98"/>
      <c r="AR524" s="98"/>
      <c r="AS524" s="57"/>
      <c r="AU524" s="57"/>
      <c r="BF524" s="98"/>
      <c r="BG524" s="98"/>
      <c r="BH524" s="98"/>
      <c r="BI524" s="98"/>
      <c r="BJ524" s="98"/>
      <c r="BK524" s="98"/>
      <c r="BL524" s="98"/>
      <c r="BM524" s="57"/>
    </row>
    <row r="525" spans="1:65" ht="11.25" x14ac:dyDescent="0.2">
      <c r="A525" s="57"/>
      <c r="B525" s="57"/>
      <c r="C525" s="57"/>
      <c r="D525" s="57"/>
      <c r="E525" s="57"/>
      <c r="F525" s="57"/>
      <c r="G525" s="57"/>
      <c r="H525" s="57"/>
      <c r="I525" s="57"/>
      <c r="J525" s="57"/>
      <c r="L525" s="57"/>
      <c r="M525" s="57"/>
      <c r="N525" s="57"/>
      <c r="O525" s="57"/>
      <c r="P525" s="57"/>
      <c r="Q525" s="57"/>
      <c r="R525" s="57"/>
      <c r="S525" s="57"/>
      <c r="T525" s="57"/>
      <c r="U525" s="57"/>
      <c r="V525" s="57"/>
      <c r="W525" s="57"/>
      <c r="X525" s="57"/>
      <c r="Y525" s="98"/>
      <c r="AA525" s="98"/>
      <c r="AR525" s="98"/>
      <c r="AS525" s="57"/>
      <c r="AU525" s="57"/>
      <c r="BF525" s="98"/>
      <c r="BG525" s="98"/>
      <c r="BH525" s="98"/>
      <c r="BI525" s="98"/>
      <c r="BJ525" s="98"/>
      <c r="BK525" s="98"/>
      <c r="BL525" s="98"/>
      <c r="BM525" s="57"/>
    </row>
    <row r="526" spans="1:65" ht="11.25" x14ac:dyDescent="0.2">
      <c r="A526" s="57"/>
      <c r="B526" s="57"/>
      <c r="C526" s="57"/>
      <c r="D526" s="57"/>
      <c r="E526" s="57"/>
      <c r="F526" s="57"/>
      <c r="G526" s="57"/>
      <c r="H526" s="57"/>
      <c r="I526" s="57"/>
      <c r="J526" s="57"/>
      <c r="L526" s="57"/>
      <c r="M526" s="57"/>
      <c r="N526" s="57"/>
      <c r="O526" s="57"/>
      <c r="P526" s="57"/>
      <c r="Q526" s="57"/>
      <c r="R526" s="57"/>
      <c r="S526" s="57"/>
      <c r="T526" s="57"/>
      <c r="U526" s="57"/>
      <c r="V526" s="57"/>
      <c r="W526" s="57"/>
      <c r="X526" s="57"/>
      <c r="Y526" s="98"/>
      <c r="AA526" s="98"/>
      <c r="AR526" s="98"/>
      <c r="AS526" s="57"/>
      <c r="AU526" s="57"/>
      <c r="BF526" s="98"/>
      <c r="BG526" s="98"/>
      <c r="BH526" s="98"/>
      <c r="BI526" s="98"/>
      <c r="BJ526" s="98"/>
      <c r="BK526" s="98"/>
      <c r="BL526" s="98"/>
      <c r="BM526" s="57"/>
    </row>
    <row r="527" spans="1:65" ht="11.25" x14ac:dyDescent="0.2">
      <c r="A527" s="57"/>
      <c r="B527" s="57"/>
      <c r="C527" s="57"/>
      <c r="D527" s="57"/>
      <c r="E527" s="57"/>
      <c r="F527" s="57"/>
      <c r="G527" s="57"/>
      <c r="H527" s="57"/>
      <c r="I527" s="57"/>
      <c r="J527" s="57"/>
      <c r="L527" s="57"/>
      <c r="M527" s="57"/>
      <c r="N527" s="57"/>
      <c r="O527" s="57"/>
      <c r="P527" s="57"/>
      <c r="Q527" s="57"/>
      <c r="R527" s="57"/>
      <c r="S527" s="57"/>
      <c r="T527" s="57"/>
      <c r="U527" s="57"/>
      <c r="V527" s="57"/>
      <c r="W527" s="57"/>
      <c r="X527" s="57"/>
      <c r="Y527" s="98"/>
      <c r="AA527" s="98"/>
      <c r="AR527" s="98"/>
      <c r="AS527" s="57"/>
      <c r="AU527" s="57"/>
      <c r="BF527" s="98"/>
      <c r="BG527" s="98"/>
      <c r="BH527" s="98"/>
      <c r="BI527" s="98"/>
      <c r="BJ527" s="98"/>
      <c r="BK527" s="98"/>
      <c r="BL527" s="98"/>
      <c r="BM527" s="57"/>
    </row>
    <row r="528" spans="1:65" ht="11.25" x14ac:dyDescent="0.2">
      <c r="A528" s="57"/>
      <c r="B528" s="57"/>
      <c r="C528" s="57"/>
      <c r="D528" s="57"/>
      <c r="E528" s="57"/>
      <c r="F528" s="57"/>
      <c r="G528" s="57"/>
      <c r="H528" s="57"/>
      <c r="I528" s="57"/>
      <c r="J528" s="57"/>
      <c r="L528" s="57"/>
      <c r="M528" s="57"/>
      <c r="N528" s="57"/>
      <c r="O528" s="57"/>
      <c r="P528" s="57"/>
      <c r="Q528" s="57"/>
      <c r="R528" s="57"/>
      <c r="S528" s="57"/>
      <c r="T528" s="57"/>
      <c r="U528" s="57"/>
      <c r="V528" s="57"/>
      <c r="W528" s="57"/>
      <c r="X528" s="57"/>
      <c r="Y528" s="98"/>
      <c r="AA528" s="98"/>
      <c r="AR528" s="98"/>
      <c r="AS528" s="57"/>
      <c r="AU528" s="57"/>
      <c r="BF528" s="98"/>
      <c r="BG528" s="98"/>
      <c r="BH528" s="98"/>
      <c r="BI528" s="98"/>
      <c r="BJ528" s="98"/>
      <c r="BK528" s="98"/>
      <c r="BL528" s="98"/>
      <c r="BM528" s="57"/>
    </row>
    <row r="529" spans="1:65" ht="11.25" x14ac:dyDescent="0.2">
      <c r="A529" s="57"/>
      <c r="B529" s="57"/>
      <c r="C529" s="57"/>
      <c r="D529" s="57"/>
      <c r="E529" s="57"/>
      <c r="F529" s="57"/>
      <c r="G529" s="57"/>
      <c r="H529" s="57"/>
      <c r="I529" s="57"/>
      <c r="J529" s="57"/>
      <c r="L529" s="57"/>
      <c r="M529" s="57"/>
      <c r="N529" s="57"/>
      <c r="O529" s="57"/>
      <c r="P529" s="57"/>
      <c r="Q529" s="57"/>
      <c r="R529" s="57"/>
      <c r="S529" s="57"/>
      <c r="T529" s="57"/>
      <c r="U529" s="57"/>
      <c r="V529" s="57"/>
      <c r="W529" s="57"/>
      <c r="X529" s="57"/>
      <c r="Y529" s="98"/>
      <c r="AA529" s="98"/>
      <c r="AR529" s="98"/>
      <c r="AS529" s="57"/>
      <c r="AU529" s="57"/>
      <c r="BF529" s="98"/>
      <c r="BG529" s="98"/>
      <c r="BH529" s="98"/>
      <c r="BI529" s="98"/>
      <c r="BJ529" s="98"/>
      <c r="BK529" s="98"/>
      <c r="BL529" s="98"/>
      <c r="BM529" s="57"/>
    </row>
    <row r="530" spans="1:65" ht="11.25" x14ac:dyDescent="0.2">
      <c r="A530" s="57"/>
      <c r="B530" s="57"/>
      <c r="C530" s="57"/>
      <c r="D530" s="57"/>
      <c r="E530" s="57"/>
      <c r="F530" s="57"/>
      <c r="G530" s="57"/>
      <c r="H530" s="57"/>
      <c r="I530" s="57"/>
      <c r="J530" s="57"/>
      <c r="L530" s="57"/>
      <c r="M530" s="57"/>
      <c r="N530" s="57"/>
      <c r="O530" s="57"/>
      <c r="P530" s="57"/>
      <c r="Q530" s="57"/>
      <c r="R530" s="57"/>
      <c r="S530" s="57"/>
      <c r="T530" s="57"/>
      <c r="U530" s="57"/>
      <c r="V530" s="57"/>
      <c r="W530" s="57"/>
      <c r="X530" s="57"/>
      <c r="Y530" s="98"/>
      <c r="AA530" s="98"/>
      <c r="AR530" s="98"/>
      <c r="AS530" s="57"/>
      <c r="AU530" s="57"/>
      <c r="BF530" s="98"/>
      <c r="BG530" s="98"/>
      <c r="BH530" s="98"/>
      <c r="BI530" s="98"/>
      <c r="BJ530" s="98"/>
      <c r="BK530" s="98"/>
      <c r="BL530" s="98"/>
      <c r="BM530" s="57"/>
    </row>
    <row r="531" spans="1:65" ht="11.25" x14ac:dyDescent="0.2">
      <c r="A531" s="57"/>
      <c r="B531" s="57"/>
      <c r="C531" s="57"/>
      <c r="D531" s="57"/>
      <c r="E531" s="57"/>
      <c r="F531" s="57"/>
      <c r="G531" s="57"/>
      <c r="H531" s="57"/>
      <c r="I531" s="57"/>
      <c r="J531" s="57"/>
      <c r="L531" s="57"/>
      <c r="M531" s="57"/>
      <c r="N531" s="57"/>
      <c r="O531" s="57"/>
      <c r="P531" s="57"/>
      <c r="Q531" s="57"/>
      <c r="R531" s="57"/>
      <c r="S531" s="57"/>
      <c r="T531" s="57"/>
      <c r="U531" s="57"/>
      <c r="V531" s="57"/>
      <c r="W531" s="57"/>
      <c r="X531" s="57"/>
      <c r="Y531" s="98"/>
      <c r="AA531" s="98"/>
      <c r="AR531" s="98"/>
      <c r="AS531" s="57"/>
      <c r="AU531" s="57"/>
      <c r="BF531" s="98"/>
      <c r="BG531" s="98"/>
      <c r="BH531" s="98"/>
      <c r="BI531" s="98"/>
      <c r="BJ531" s="98"/>
      <c r="BK531" s="98"/>
      <c r="BL531" s="98"/>
      <c r="BM531" s="57"/>
    </row>
    <row r="532" spans="1:65" ht="11.25" x14ac:dyDescent="0.2">
      <c r="A532" s="57"/>
      <c r="B532" s="57"/>
      <c r="C532" s="57"/>
      <c r="D532" s="57"/>
      <c r="E532" s="57"/>
      <c r="F532" s="57"/>
      <c r="G532" s="57"/>
      <c r="H532" s="57"/>
      <c r="I532" s="57"/>
      <c r="J532" s="57"/>
      <c r="L532" s="57"/>
      <c r="M532" s="57"/>
      <c r="N532" s="57"/>
      <c r="O532" s="57"/>
      <c r="P532" s="57"/>
      <c r="Q532" s="57"/>
      <c r="R532" s="57"/>
      <c r="S532" s="57"/>
      <c r="T532" s="57"/>
      <c r="U532" s="57"/>
      <c r="V532" s="57"/>
      <c r="W532" s="57"/>
      <c r="X532" s="57"/>
      <c r="Y532" s="98"/>
      <c r="AA532" s="98"/>
      <c r="AR532" s="98"/>
      <c r="AS532" s="57"/>
      <c r="AU532" s="57"/>
      <c r="BF532" s="98"/>
      <c r="BG532" s="98"/>
      <c r="BH532" s="98"/>
      <c r="BI532" s="98"/>
      <c r="BJ532" s="98"/>
      <c r="BK532" s="98"/>
      <c r="BL532" s="98"/>
      <c r="BM532" s="57"/>
    </row>
    <row r="533" spans="1:65" ht="11.25" x14ac:dyDescent="0.2">
      <c r="A533" s="57"/>
      <c r="B533" s="57"/>
      <c r="C533" s="57"/>
      <c r="D533" s="57"/>
      <c r="E533" s="57"/>
      <c r="F533" s="57"/>
      <c r="G533" s="57"/>
      <c r="H533" s="57"/>
      <c r="I533" s="57"/>
      <c r="J533" s="57"/>
      <c r="L533" s="57"/>
      <c r="M533" s="57"/>
      <c r="N533" s="57"/>
      <c r="O533" s="57"/>
      <c r="P533" s="57"/>
      <c r="Q533" s="57"/>
      <c r="R533" s="57"/>
      <c r="S533" s="57"/>
      <c r="T533" s="57"/>
      <c r="U533" s="57"/>
      <c r="V533" s="57"/>
      <c r="W533" s="57"/>
      <c r="X533" s="57"/>
      <c r="Y533" s="98"/>
      <c r="AA533" s="98"/>
      <c r="AR533" s="98"/>
      <c r="AS533" s="57"/>
      <c r="AU533" s="57"/>
      <c r="BF533" s="98"/>
      <c r="BG533" s="98"/>
      <c r="BH533" s="98"/>
      <c r="BI533" s="98"/>
      <c r="BJ533" s="98"/>
      <c r="BK533" s="98"/>
      <c r="BL533" s="98"/>
      <c r="BM533" s="57"/>
    </row>
    <row r="534" spans="1:65" ht="11.25" x14ac:dyDescent="0.2">
      <c r="A534" s="57"/>
      <c r="B534" s="57"/>
      <c r="C534" s="57"/>
      <c r="D534" s="57"/>
      <c r="E534" s="57"/>
      <c r="F534" s="57"/>
      <c r="G534" s="57"/>
      <c r="H534" s="57"/>
      <c r="I534" s="57"/>
      <c r="J534" s="57"/>
      <c r="L534" s="57"/>
      <c r="M534" s="57"/>
      <c r="N534" s="57"/>
      <c r="O534" s="57"/>
      <c r="P534" s="57"/>
      <c r="Q534" s="57"/>
      <c r="R534" s="57"/>
      <c r="S534" s="57"/>
      <c r="T534" s="57"/>
      <c r="U534" s="57"/>
      <c r="V534" s="57"/>
      <c r="W534" s="57"/>
      <c r="X534" s="57"/>
      <c r="Y534" s="98"/>
      <c r="AA534" s="98"/>
      <c r="AR534" s="98"/>
      <c r="AS534" s="57"/>
      <c r="AU534" s="57"/>
      <c r="BF534" s="98"/>
      <c r="BG534" s="98"/>
      <c r="BH534" s="98"/>
      <c r="BI534" s="98"/>
      <c r="BJ534" s="98"/>
      <c r="BK534" s="98"/>
      <c r="BL534" s="98"/>
      <c r="BM534" s="57"/>
    </row>
    <row r="535" spans="1:65" ht="11.25" x14ac:dyDescent="0.2">
      <c r="A535" s="57"/>
      <c r="B535" s="57"/>
      <c r="C535" s="57"/>
      <c r="D535" s="57"/>
      <c r="E535" s="57"/>
      <c r="F535" s="57"/>
      <c r="G535" s="57"/>
      <c r="H535" s="57"/>
      <c r="I535" s="57"/>
      <c r="J535" s="57"/>
      <c r="L535" s="57"/>
      <c r="M535" s="57"/>
      <c r="N535" s="57"/>
      <c r="O535" s="57"/>
      <c r="P535" s="57"/>
      <c r="Q535" s="57"/>
      <c r="R535" s="57"/>
      <c r="S535" s="57"/>
      <c r="T535" s="57"/>
      <c r="U535" s="57"/>
      <c r="V535" s="57"/>
      <c r="W535" s="57"/>
      <c r="X535" s="57"/>
      <c r="Y535" s="98"/>
      <c r="AA535" s="98"/>
      <c r="AR535" s="98"/>
      <c r="AS535" s="57"/>
      <c r="AU535" s="57"/>
      <c r="BF535" s="98"/>
      <c r="BG535" s="98"/>
      <c r="BH535" s="98"/>
      <c r="BI535" s="98"/>
      <c r="BJ535" s="98"/>
      <c r="BK535" s="98"/>
      <c r="BL535" s="98"/>
      <c r="BM535" s="57"/>
    </row>
    <row r="536" spans="1:65" ht="11.25" x14ac:dyDescent="0.2">
      <c r="A536" s="57"/>
      <c r="B536" s="57"/>
      <c r="C536" s="57"/>
      <c r="D536" s="57"/>
      <c r="E536" s="57"/>
      <c r="F536" s="57"/>
      <c r="G536" s="57"/>
      <c r="H536" s="57"/>
      <c r="I536" s="57"/>
      <c r="J536" s="57"/>
      <c r="L536" s="57"/>
      <c r="M536" s="57"/>
      <c r="N536" s="57"/>
      <c r="O536" s="57"/>
      <c r="P536" s="57"/>
      <c r="Q536" s="57"/>
      <c r="R536" s="57"/>
      <c r="S536" s="57"/>
      <c r="T536" s="57"/>
      <c r="U536" s="57"/>
      <c r="V536" s="57"/>
      <c r="W536" s="57"/>
      <c r="X536" s="57"/>
      <c r="Y536" s="98"/>
      <c r="AA536" s="98"/>
      <c r="AR536" s="98"/>
      <c r="AS536" s="57"/>
      <c r="AU536" s="57"/>
      <c r="BF536" s="98"/>
      <c r="BG536" s="98"/>
      <c r="BH536" s="98"/>
      <c r="BI536" s="98"/>
      <c r="BJ536" s="98"/>
      <c r="BK536" s="98"/>
      <c r="BL536" s="98"/>
      <c r="BM536" s="57"/>
    </row>
    <row r="537" spans="1:65" ht="11.25" x14ac:dyDescent="0.2">
      <c r="A537" s="57"/>
      <c r="B537" s="57"/>
      <c r="C537" s="57"/>
      <c r="D537" s="57"/>
      <c r="E537" s="57"/>
      <c r="F537" s="57"/>
      <c r="G537" s="57"/>
      <c r="H537" s="57"/>
      <c r="I537" s="57"/>
      <c r="J537" s="57"/>
      <c r="L537" s="57"/>
      <c r="M537" s="57"/>
      <c r="N537" s="57"/>
      <c r="O537" s="57"/>
      <c r="P537" s="57"/>
      <c r="Q537" s="57"/>
      <c r="R537" s="57"/>
      <c r="S537" s="57"/>
      <c r="T537" s="57"/>
      <c r="U537" s="57"/>
      <c r="V537" s="57"/>
      <c r="W537" s="57"/>
      <c r="X537" s="57"/>
      <c r="Y537" s="98"/>
      <c r="AA537" s="98"/>
      <c r="AR537" s="98"/>
      <c r="AS537" s="57"/>
      <c r="AU537" s="57"/>
      <c r="BF537" s="98"/>
      <c r="BG537" s="98"/>
      <c r="BH537" s="98"/>
      <c r="BI537" s="98"/>
      <c r="BJ537" s="98"/>
      <c r="BK537" s="98"/>
      <c r="BL537" s="98"/>
      <c r="BM537" s="57"/>
    </row>
    <row r="538" spans="1:65" ht="11.25" x14ac:dyDescent="0.2">
      <c r="A538" s="57"/>
      <c r="B538" s="57"/>
      <c r="C538" s="57"/>
      <c r="D538" s="57"/>
      <c r="E538" s="57"/>
      <c r="F538" s="57"/>
      <c r="G538" s="57"/>
      <c r="H538" s="57"/>
      <c r="I538" s="57"/>
      <c r="J538" s="57"/>
      <c r="L538" s="57"/>
      <c r="M538" s="57"/>
      <c r="N538" s="57"/>
      <c r="O538" s="57"/>
      <c r="P538" s="57"/>
      <c r="Q538" s="57"/>
      <c r="R538" s="57"/>
      <c r="S538" s="57"/>
      <c r="T538" s="57"/>
      <c r="U538" s="57"/>
      <c r="V538" s="57"/>
      <c r="W538" s="57"/>
      <c r="X538" s="57"/>
      <c r="Y538" s="98"/>
      <c r="AA538" s="98"/>
      <c r="AR538" s="98"/>
      <c r="AS538" s="57"/>
      <c r="AU538" s="57"/>
      <c r="BF538" s="98"/>
      <c r="BG538" s="98"/>
      <c r="BH538" s="98"/>
      <c r="BI538" s="98"/>
      <c r="BJ538" s="98"/>
      <c r="BK538" s="98"/>
      <c r="BL538" s="98"/>
      <c r="BM538" s="57"/>
    </row>
    <row r="539" spans="1:65" ht="11.25" x14ac:dyDescent="0.2">
      <c r="A539" s="57"/>
      <c r="B539" s="57"/>
      <c r="C539" s="57"/>
      <c r="D539" s="57"/>
      <c r="E539" s="57"/>
      <c r="F539" s="57"/>
      <c r="G539" s="57"/>
      <c r="H539" s="57"/>
      <c r="I539" s="57"/>
      <c r="J539" s="57"/>
      <c r="L539" s="57"/>
      <c r="M539" s="57"/>
      <c r="N539" s="57"/>
      <c r="O539" s="57"/>
      <c r="P539" s="57"/>
      <c r="Q539" s="57"/>
      <c r="R539" s="57"/>
      <c r="S539" s="57"/>
      <c r="T539" s="57"/>
      <c r="U539" s="57"/>
      <c r="V539" s="57"/>
      <c r="W539" s="57"/>
      <c r="X539" s="57"/>
      <c r="Y539" s="98"/>
      <c r="AA539" s="98"/>
      <c r="AR539" s="98"/>
      <c r="AS539" s="57"/>
      <c r="AU539" s="57"/>
      <c r="BF539" s="98"/>
      <c r="BG539" s="98"/>
      <c r="BH539" s="98"/>
      <c r="BI539" s="98"/>
      <c r="BJ539" s="98"/>
      <c r="BK539" s="98"/>
      <c r="BL539" s="98"/>
      <c r="BM539" s="57"/>
    </row>
    <row r="540" spans="1:65" ht="11.25" x14ac:dyDescent="0.2">
      <c r="A540" s="57"/>
      <c r="B540" s="57"/>
      <c r="C540" s="57"/>
      <c r="D540" s="57"/>
      <c r="E540" s="57"/>
      <c r="F540" s="57"/>
      <c r="G540" s="57"/>
      <c r="H540" s="57"/>
      <c r="I540" s="57"/>
      <c r="J540" s="57"/>
      <c r="L540" s="57"/>
      <c r="M540" s="57"/>
      <c r="N540" s="57"/>
      <c r="O540" s="57"/>
      <c r="P540" s="57"/>
      <c r="Q540" s="57"/>
      <c r="R540" s="57"/>
      <c r="S540" s="57"/>
      <c r="T540" s="57"/>
      <c r="U540" s="57"/>
      <c r="V540" s="57"/>
      <c r="W540" s="57"/>
      <c r="X540" s="57"/>
      <c r="Y540" s="98"/>
      <c r="AA540" s="98"/>
      <c r="AR540" s="98"/>
      <c r="AS540" s="57"/>
      <c r="AU540" s="57"/>
      <c r="BF540" s="98"/>
      <c r="BG540" s="98"/>
      <c r="BH540" s="98"/>
      <c r="BI540" s="98"/>
      <c r="BJ540" s="98"/>
      <c r="BK540" s="98"/>
      <c r="BL540" s="98"/>
      <c r="BM540" s="57"/>
    </row>
    <row r="541" spans="1:65" ht="11.25" x14ac:dyDescent="0.2">
      <c r="A541" s="57"/>
      <c r="B541" s="57"/>
      <c r="C541" s="57"/>
      <c r="D541" s="57"/>
      <c r="E541" s="57"/>
      <c r="F541" s="57"/>
      <c r="G541" s="57"/>
      <c r="H541" s="57"/>
      <c r="I541" s="57"/>
      <c r="J541" s="57"/>
      <c r="L541" s="57"/>
      <c r="M541" s="57"/>
      <c r="N541" s="57"/>
      <c r="O541" s="57"/>
      <c r="P541" s="57"/>
      <c r="Q541" s="57"/>
      <c r="R541" s="57"/>
      <c r="S541" s="57"/>
      <c r="T541" s="57"/>
      <c r="U541" s="57"/>
      <c r="V541" s="57"/>
      <c r="W541" s="57"/>
      <c r="X541" s="57"/>
      <c r="Y541" s="98"/>
      <c r="AA541" s="98"/>
      <c r="AR541" s="98"/>
      <c r="AS541" s="57"/>
      <c r="AU541" s="57"/>
      <c r="BF541" s="98"/>
      <c r="BG541" s="98"/>
      <c r="BH541" s="98"/>
      <c r="BI541" s="98"/>
      <c r="BJ541" s="98"/>
      <c r="BK541" s="98"/>
      <c r="BL541" s="98"/>
      <c r="BM541" s="57"/>
    </row>
    <row r="542" spans="1:65" ht="11.25" x14ac:dyDescent="0.2">
      <c r="A542" s="57"/>
      <c r="B542" s="57"/>
      <c r="C542" s="57"/>
      <c r="D542" s="57"/>
      <c r="E542" s="57"/>
      <c r="F542" s="57"/>
      <c r="G542" s="57"/>
      <c r="H542" s="57"/>
      <c r="I542" s="57"/>
      <c r="J542" s="57"/>
      <c r="L542" s="57"/>
      <c r="M542" s="57"/>
      <c r="N542" s="57"/>
      <c r="O542" s="57"/>
      <c r="P542" s="57"/>
      <c r="Q542" s="57"/>
      <c r="R542" s="57"/>
      <c r="S542" s="57"/>
      <c r="T542" s="57"/>
      <c r="U542" s="57"/>
      <c r="V542" s="57"/>
      <c r="W542" s="57"/>
      <c r="X542" s="57"/>
      <c r="Y542" s="98"/>
      <c r="AA542" s="98"/>
      <c r="AR542" s="98"/>
      <c r="AS542" s="57"/>
      <c r="AU542" s="57"/>
      <c r="BF542" s="98"/>
      <c r="BG542" s="98"/>
      <c r="BH542" s="98"/>
      <c r="BI542" s="98"/>
      <c r="BJ542" s="98"/>
      <c r="BK542" s="98"/>
      <c r="BL542" s="98"/>
      <c r="BM542" s="57"/>
    </row>
    <row r="543" spans="1:65" ht="11.25" x14ac:dyDescent="0.2">
      <c r="A543" s="57"/>
      <c r="B543" s="57"/>
      <c r="C543" s="57"/>
      <c r="D543" s="57"/>
      <c r="E543" s="57"/>
      <c r="F543" s="57"/>
      <c r="G543" s="57"/>
      <c r="H543" s="57"/>
      <c r="I543" s="57"/>
      <c r="J543" s="57"/>
      <c r="L543" s="57"/>
      <c r="M543" s="57"/>
      <c r="N543" s="57"/>
      <c r="O543" s="57"/>
      <c r="P543" s="57"/>
      <c r="Q543" s="57"/>
      <c r="R543" s="57"/>
      <c r="S543" s="57"/>
      <c r="T543" s="57"/>
      <c r="U543" s="57"/>
      <c r="V543" s="57"/>
      <c r="W543" s="57"/>
      <c r="X543" s="57"/>
      <c r="Y543" s="98"/>
      <c r="AA543" s="98"/>
      <c r="AR543" s="98"/>
      <c r="AS543" s="57"/>
      <c r="AU543" s="57"/>
      <c r="BF543" s="98"/>
      <c r="BG543" s="98"/>
      <c r="BH543" s="98"/>
      <c r="BI543" s="98"/>
      <c r="BJ543" s="98"/>
      <c r="BK543" s="98"/>
      <c r="BL543" s="98"/>
      <c r="BM543" s="57"/>
    </row>
    <row r="544" spans="1:65" ht="11.25" x14ac:dyDescent="0.2">
      <c r="A544" s="57"/>
      <c r="B544" s="57"/>
      <c r="C544" s="57"/>
      <c r="D544" s="57"/>
      <c r="E544" s="57"/>
      <c r="F544" s="57"/>
      <c r="G544" s="57"/>
      <c r="H544" s="57"/>
      <c r="I544" s="57"/>
      <c r="J544" s="57"/>
      <c r="L544" s="57"/>
      <c r="M544" s="57"/>
      <c r="N544" s="57"/>
      <c r="O544" s="57"/>
      <c r="P544" s="57"/>
      <c r="Q544" s="57"/>
      <c r="R544" s="57"/>
      <c r="S544" s="57"/>
      <c r="T544" s="57"/>
      <c r="U544" s="57"/>
      <c r="V544" s="57"/>
      <c r="W544" s="57"/>
      <c r="X544" s="57"/>
      <c r="Y544" s="98"/>
      <c r="AA544" s="98"/>
      <c r="AR544" s="98"/>
      <c r="AS544" s="57"/>
      <c r="AU544" s="57"/>
      <c r="BF544" s="98"/>
      <c r="BG544" s="98"/>
      <c r="BH544" s="98"/>
      <c r="BI544" s="98"/>
      <c r="BJ544" s="98"/>
      <c r="BK544" s="98"/>
      <c r="BL544" s="98"/>
      <c r="BM544" s="57"/>
    </row>
    <row r="545" spans="1:65" ht="11.25" x14ac:dyDescent="0.2">
      <c r="A545" s="57"/>
      <c r="B545" s="57"/>
      <c r="C545" s="57"/>
      <c r="D545" s="57"/>
      <c r="E545" s="57"/>
      <c r="F545" s="57"/>
      <c r="G545" s="57"/>
      <c r="H545" s="57"/>
      <c r="I545" s="57"/>
      <c r="J545" s="57"/>
      <c r="L545" s="57"/>
      <c r="M545" s="57"/>
      <c r="N545" s="57"/>
      <c r="O545" s="57"/>
      <c r="P545" s="57"/>
      <c r="Q545" s="57"/>
      <c r="R545" s="57"/>
      <c r="S545" s="57"/>
      <c r="T545" s="57"/>
      <c r="U545" s="57"/>
      <c r="V545" s="57"/>
      <c r="W545" s="57"/>
      <c r="X545" s="57"/>
      <c r="Y545" s="98"/>
      <c r="AA545" s="98"/>
      <c r="AR545" s="98"/>
      <c r="AS545" s="57"/>
      <c r="AU545" s="57"/>
      <c r="BF545" s="98"/>
      <c r="BG545" s="98"/>
      <c r="BH545" s="98"/>
      <c r="BI545" s="98"/>
      <c r="BJ545" s="98"/>
      <c r="BK545" s="98"/>
      <c r="BL545" s="98"/>
      <c r="BM545" s="57"/>
    </row>
    <row r="546" spans="1:65" ht="11.25" x14ac:dyDescent="0.2">
      <c r="A546" s="57"/>
      <c r="B546" s="57"/>
      <c r="C546" s="57"/>
      <c r="D546" s="57"/>
      <c r="E546" s="57"/>
      <c r="F546" s="57"/>
      <c r="G546" s="57"/>
      <c r="H546" s="57"/>
      <c r="I546" s="57"/>
      <c r="J546" s="57"/>
      <c r="L546" s="57"/>
      <c r="M546" s="57"/>
      <c r="N546" s="57"/>
      <c r="O546" s="57"/>
      <c r="P546" s="57"/>
      <c r="Q546" s="57"/>
      <c r="R546" s="57"/>
      <c r="S546" s="57"/>
      <c r="T546" s="57"/>
      <c r="U546" s="57"/>
      <c r="V546" s="57"/>
      <c r="W546" s="57"/>
      <c r="X546" s="57"/>
      <c r="Y546" s="98"/>
      <c r="AA546" s="98"/>
      <c r="AR546" s="98"/>
      <c r="AS546" s="57"/>
      <c r="AU546" s="57"/>
      <c r="BF546" s="98"/>
      <c r="BG546" s="98"/>
      <c r="BH546" s="98"/>
      <c r="BI546" s="98"/>
      <c r="BJ546" s="98"/>
      <c r="BK546" s="98"/>
      <c r="BL546" s="98"/>
      <c r="BM546" s="57"/>
    </row>
    <row r="547" spans="1:65" ht="11.25" x14ac:dyDescent="0.2">
      <c r="A547" s="57"/>
      <c r="B547" s="57"/>
      <c r="C547" s="57"/>
      <c r="D547" s="57"/>
      <c r="E547" s="57"/>
      <c r="F547" s="57"/>
      <c r="G547" s="57"/>
      <c r="H547" s="57"/>
      <c r="I547" s="57"/>
      <c r="J547" s="57"/>
      <c r="L547" s="57"/>
      <c r="M547" s="57"/>
      <c r="N547" s="57"/>
      <c r="O547" s="57"/>
      <c r="P547" s="57"/>
      <c r="Q547" s="57"/>
      <c r="R547" s="57"/>
      <c r="S547" s="57"/>
      <c r="T547" s="57"/>
      <c r="U547" s="57"/>
      <c r="V547" s="57"/>
      <c r="W547" s="57"/>
      <c r="X547" s="57"/>
      <c r="Y547" s="98"/>
      <c r="AA547" s="98"/>
      <c r="AR547" s="98"/>
      <c r="AS547" s="57"/>
      <c r="AU547" s="57"/>
      <c r="BF547" s="98"/>
      <c r="BG547" s="98"/>
      <c r="BH547" s="98"/>
      <c r="BI547" s="98"/>
      <c r="BJ547" s="98"/>
      <c r="BK547" s="98"/>
      <c r="BL547" s="98"/>
      <c r="BM547" s="57"/>
    </row>
    <row r="548" spans="1:65" ht="11.25" x14ac:dyDescent="0.2">
      <c r="A548" s="57"/>
      <c r="B548" s="57"/>
      <c r="C548" s="57"/>
      <c r="D548" s="57"/>
      <c r="E548" s="57"/>
      <c r="F548" s="57"/>
      <c r="G548" s="57"/>
      <c r="H548" s="57"/>
      <c r="I548" s="57"/>
      <c r="J548" s="57"/>
      <c r="L548" s="57"/>
      <c r="M548" s="57"/>
      <c r="N548" s="57"/>
      <c r="O548" s="57"/>
      <c r="P548" s="57"/>
      <c r="Q548" s="57"/>
      <c r="R548" s="57"/>
      <c r="S548" s="57"/>
      <c r="T548" s="57"/>
      <c r="U548" s="57"/>
      <c r="V548" s="57"/>
      <c r="W548" s="57"/>
      <c r="X548" s="57"/>
      <c r="Y548" s="98"/>
      <c r="AA548" s="98"/>
      <c r="AR548" s="98"/>
      <c r="AS548" s="57"/>
      <c r="AU548" s="57"/>
      <c r="BF548" s="98"/>
      <c r="BG548" s="98"/>
      <c r="BH548" s="98"/>
      <c r="BI548" s="98"/>
      <c r="BJ548" s="98"/>
      <c r="BK548" s="98"/>
      <c r="BL548" s="98"/>
      <c r="BM548" s="57"/>
    </row>
    <row r="549" spans="1:65" ht="11.25" x14ac:dyDescent="0.2">
      <c r="A549" s="57"/>
      <c r="B549" s="57"/>
      <c r="C549" s="57"/>
      <c r="D549" s="57"/>
      <c r="E549" s="57"/>
      <c r="F549" s="57"/>
      <c r="G549" s="57"/>
      <c r="H549" s="57"/>
      <c r="I549" s="57"/>
      <c r="J549" s="57"/>
      <c r="L549" s="57"/>
      <c r="M549" s="57"/>
      <c r="N549" s="57"/>
      <c r="O549" s="57"/>
      <c r="P549" s="57"/>
      <c r="Q549" s="57"/>
      <c r="R549" s="57"/>
      <c r="S549" s="57"/>
      <c r="T549" s="57"/>
      <c r="U549" s="57"/>
      <c r="V549" s="57"/>
      <c r="W549" s="57"/>
      <c r="X549" s="57"/>
      <c r="Y549" s="98"/>
      <c r="AA549" s="98"/>
      <c r="AR549" s="98"/>
      <c r="AS549" s="57"/>
      <c r="AU549" s="57"/>
      <c r="BF549" s="98"/>
      <c r="BG549" s="98"/>
      <c r="BH549" s="98"/>
      <c r="BI549" s="98"/>
      <c r="BJ549" s="98"/>
      <c r="BK549" s="98"/>
      <c r="BL549" s="98"/>
      <c r="BM549" s="57"/>
    </row>
    <row r="550" spans="1:65" ht="11.25" x14ac:dyDescent="0.2">
      <c r="A550" s="57"/>
      <c r="B550" s="57"/>
      <c r="C550" s="57"/>
      <c r="D550" s="57"/>
      <c r="E550" s="57"/>
      <c r="F550" s="57"/>
      <c r="G550" s="57"/>
      <c r="H550" s="57"/>
      <c r="I550" s="57"/>
      <c r="J550" s="57"/>
      <c r="L550" s="57"/>
      <c r="M550" s="57"/>
      <c r="N550" s="57"/>
      <c r="O550" s="57"/>
      <c r="P550" s="57"/>
      <c r="Q550" s="57"/>
      <c r="R550" s="57"/>
      <c r="S550" s="57"/>
      <c r="T550" s="57"/>
      <c r="U550" s="57"/>
      <c r="V550" s="57"/>
      <c r="W550" s="57"/>
      <c r="X550" s="57"/>
      <c r="Y550" s="98"/>
      <c r="AA550" s="98"/>
      <c r="AR550" s="98"/>
      <c r="AS550" s="57"/>
      <c r="AU550" s="57"/>
      <c r="BF550" s="98"/>
      <c r="BG550" s="98"/>
      <c r="BH550" s="98"/>
      <c r="BI550" s="98"/>
      <c r="BJ550" s="98"/>
      <c r="BK550" s="98"/>
      <c r="BL550" s="98"/>
      <c r="BM550" s="57"/>
    </row>
    <row r="551" spans="1:65" ht="11.25" x14ac:dyDescent="0.2">
      <c r="A551" s="57"/>
      <c r="B551" s="57"/>
      <c r="C551" s="57"/>
      <c r="D551" s="57"/>
      <c r="E551" s="57"/>
      <c r="F551" s="57"/>
      <c r="G551" s="57"/>
      <c r="H551" s="57"/>
      <c r="I551" s="57"/>
      <c r="J551" s="57"/>
      <c r="L551" s="57"/>
      <c r="M551" s="57"/>
      <c r="N551" s="57"/>
      <c r="O551" s="57"/>
      <c r="P551" s="57"/>
      <c r="Q551" s="57"/>
      <c r="R551" s="57"/>
      <c r="S551" s="57"/>
      <c r="T551" s="57"/>
      <c r="U551" s="57"/>
      <c r="V551" s="57"/>
      <c r="W551" s="57"/>
      <c r="X551" s="57"/>
      <c r="Y551" s="98"/>
      <c r="AA551" s="98"/>
      <c r="AR551" s="98"/>
      <c r="AS551" s="57"/>
      <c r="AU551" s="57"/>
      <c r="BF551" s="98"/>
      <c r="BG551" s="98"/>
      <c r="BH551" s="98"/>
      <c r="BI551" s="98"/>
      <c r="BJ551" s="98"/>
      <c r="BK551" s="98"/>
      <c r="BL551" s="98"/>
      <c r="BM551" s="57"/>
    </row>
    <row r="552" spans="1:65" ht="11.25" x14ac:dyDescent="0.2">
      <c r="A552" s="57"/>
      <c r="B552" s="57"/>
      <c r="C552" s="57"/>
      <c r="D552" s="57"/>
      <c r="E552" s="57"/>
      <c r="F552" s="57"/>
      <c r="G552" s="57"/>
      <c r="H552" s="57"/>
      <c r="I552" s="57"/>
      <c r="J552" s="57"/>
      <c r="L552" s="57"/>
      <c r="M552" s="57"/>
      <c r="N552" s="57"/>
      <c r="O552" s="57"/>
      <c r="P552" s="57"/>
      <c r="Q552" s="57"/>
      <c r="R552" s="57"/>
      <c r="S552" s="57"/>
      <c r="T552" s="57"/>
      <c r="U552" s="57"/>
      <c r="V552" s="57"/>
      <c r="W552" s="57"/>
      <c r="X552" s="57"/>
      <c r="Y552" s="98"/>
      <c r="AA552" s="98"/>
      <c r="AR552" s="98"/>
      <c r="AS552" s="57"/>
      <c r="AU552" s="57"/>
      <c r="BF552" s="98"/>
      <c r="BG552" s="98"/>
      <c r="BH552" s="98"/>
      <c r="BI552" s="98"/>
      <c r="BJ552" s="98"/>
      <c r="BK552" s="98"/>
      <c r="BL552" s="98"/>
      <c r="BM552" s="57"/>
    </row>
    <row r="553" spans="1:65" ht="11.25" x14ac:dyDescent="0.2">
      <c r="A553" s="57"/>
      <c r="B553" s="57"/>
      <c r="C553" s="57"/>
      <c r="D553" s="57"/>
      <c r="E553" s="57"/>
      <c r="F553" s="57"/>
      <c r="G553" s="57"/>
      <c r="H553" s="57"/>
      <c r="I553" s="57"/>
      <c r="J553" s="57"/>
      <c r="L553" s="57"/>
      <c r="M553" s="57"/>
      <c r="N553" s="57"/>
      <c r="O553" s="57"/>
      <c r="P553" s="57"/>
      <c r="Q553" s="57"/>
      <c r="R553" s="57"/>
      <c r="S553" s="57"/>
      <c r="T553" s="57"/>
      <c r="U553" s="57"/>
      <c r="V553" s="57"/>
      <c r="W553" s="57"/>
      <c r="X553" s="57"/>
      <c r="Y553" s="98"/>
      <c r="AA553" s="98"/>
      <c r="AR553" s="98"/>
      <c r="AS553" s="57"/>
      <c r="AU553" s="57"/>
      <c r="BF553" s="98"/>
      <c r="BG553" s="98"/>
      <c r="BH553" s="98"/>
      <c r="BI553" s="98"/>
      <c r="BJ553" s="98"/>
      <c r="BK553" s="98"/>
      <c r="BL553" s="98"/>
      <c r="BM553" s="57"/>
    </row>
    <row r="554" spans="1:65" ht="11.25" x14ac:dyDescent="0.2">
      <c r="A554" s="57"/>
      <c r="B554" s="57"/>
      <c r="C554" s="57"/>
      <c r="D554" s="57"/>
      <c r="E554" s="57"/>
      <c r="F554" s="57"/>
      <c r="G554" s="57"/>
      <c r="H554" s="57"/>
      <c r="I554" s="57"/>
      <c r="J554" s="57"/>
      <c r="L554" s="57"/>
      <c r="M554" s="57"/>
      <c r="N554" s="57"/>
      <c r="O554" s="57"/>
      <c r="P554" s="57"/>
      <c r="Q554" s="57"/>
      <c r="R554" s="57"/>
      <c r="S554" s="57"/>
      <c r="T554" s="57"/>
      <c r="U554" s="57"/>
      <c r="V554" s="57"/>
      <c r="W554" s="57"/>
      <c r="X554" s="57"/>
      <c r="Y554" s="98"/>
      <c r="AA554" s="98"/>
      <c r="AR554" s="98"/>
      <c r="AS554" s="57"/>
      <c r="AU554" s="57"/>
      <c r="BF554" s="98"/>
      <c r="BG554" s="98"/>
      <c r="BH554" s="98"/>
      <c r="BI554" s="98"/>
      <c r="BJ554" s="98"/>
      <c r="BK554" s="98"/>
      <c r="BL554" s="98"/>
      <c r="BM554" s="57"/>
    </row>
    <row r="555" spans="1:65" ht="11.25" x14ac:dyDescent="0.2">
      <c r="A555" s="57"/>
      <c r="B555" s="57"/>
      <c r="C555" s="57"/>
      <c r="D555" s="57"/>
      <c r="E555" s="57"/>
      <c r="F555" s="57"/>
      <c r="G555" s="57"/>
      <c r="H555" s="57"/>
      <c r="I555" s="57"/>
      <c r="J555" s="57"/>
      <c r="L555" s="57"/>
      <c r="M555" s="57"/>
      <c r="N555" s="57"/>
      <c r="O555" s="57"/>
      <c r="P555" s="57"/>
      <c r="Q555" s="57"/>
      <c r="R555" s="57"/>
      <c r="S555" s="57"/>
      <c r="T555" s="57"/>
      <c r="U555" s="57"/>
      <c r="V555" s="57"/>
      <c r="W555" s="57"/>
      <c r="X555" s="57"/>
      <c r="Y555" s="98"/>
      <c r="AA555" s="98"/>
      <c r="AR555" s="98"/>
      <c r="AS555" s="57"/>
      <c r="AU555" s="57"/>
      <c r="BF555" s="98"/>
      <c r="BG555" s="98"/>
      <c r="BH555" s="98"/>
      <c r="BI555" s="98"/>
      <c r="BJ555" s="98"/>
      <c r="BK555" s="98"/>
      <c r="BL555" s="98"/>
      <c r="BM555" s="57"/>
    </row>
    <row r="556" spans="1:65" ht="11.25" x14ac:dyDescent="0.2">
      <c r="A556" s="57"/>
      <c r="B556" s="57"/>
      <c r="C556" s="57"/>
      <c r="D556" s="57"/>
      <c r="E556" s="57"/>
      <c r="F556" s="57"/>
      <c r="G556" s="57"/>
      <c r="H556" s="57"/>
      <c r="I556" s="57"/>
      <c r="J556" s="57"/>
      <c r="L556" s="57"/>
      <c r="M556" s="57"/>
      <c r="N556" s="57"/>
      <c r="O556" s="57"/>
      <c r="P556" s="57"/>
      <c r="Q556" s="57"/>
      <c r="R556" s="57"/>
      <c r="S556" s="57"/>
      <c r="T556" s="57"/>
      <c r="U556" s="57"/>
      <c r="V556" s="57"/>
      <c r="W556" s="57"/>
      <c r="X556" s="57"/>
      <c r="Y556" s="98"/>
      <c r="AA556" s="98"/>
      <c r="AR556" s="98"/>
      <c r="AS556" s="57"/>
      <c r="AU556" s="57"/>
      <c r="BF556" s="98"/>
      <c r="BG556" s="98"/>
      <c r="BH556" s="98"/>
      <c r="BI556" s="98"/>
      <c r="BJ556" s="98"/>
      <c r="BK556" s="98"/>
      <c r="BL556" s="98"/>
      <c r="BM556" s="57"/>
    </row>
    <row r="557" spans="1:65" ht="11.25" x14ac:dyDescent="0.2">
      <c r="A557" s="57"/>
      <c r="B557" s="57"/>
      <c r="C557" s="57"/>
      <c r="D557" s="57"/>
      <c r="E557" s="57"/>
      <c r="F557" s="57"/>
      <c r="G557" s="57"/>
      <c r="H557" s="57"/>
      <c r="I557" s="57"/>
      <c r="J557" s="57"/>
      <c r="L557" s="57"/>
      <c r="M557" s="57"/>
      <c r="N557" s="57"/>
      <c r="O557" s="57"/>
      <c r="P557" s="57"/>
      <c r="Q557" s="57"/>
      <c r="R557" s="57"/>
      <c r="S557" s="57"/>
      <c r="T557" s="57"/>
      <c r="U557" s="57"/>
      <c r="V557" s="57"/>
      <c r="W557" s="57"/>
      <c r="X557" s="57"/>
      <c r="Y557" s="98"/>
      <c r="AA557" s="98"/>
      <c r="AR557" s="98"/>
      <c r="AS557" s="57"/>
      <c r="AU557" s="57"/>
      <c r="BF557" s="98"/>
      <c r="BG557" s="98"/>
      <c r="BH557" s="98"/>
      <c r="BI557" s="98"/>
      <c r="BJ557" s="98"/>
      <c r="BK557" s="98"/>
      <c r="BL557" s="98"/>
      <c r="BM557" s="57"/>
    </row>
    <row r="558" spans="1:65" ht="11.25" x14ac:dyDescent="0.2">
      <c r="A558" s="57"/>
      <c r="B558" s="57"/>
      <c r="C558" s="57"/>
      <c r="D558" s="57"/>
      <c r="E558" s="57"/>
      <c r="F558" s="57"/>
      <c r="G558" s="57"/>
      <c r="H558" s="57"/>
      <c r="I558" s="57"/>
      <c r="J558" s="57"/>
      <c r="L558" s="57"/>
      <c r="M558" s="57"/>
      <c r="N558" s="57"/>
      <c r="O558" s="57"/>
      <c r="P558" s="57"/>
      <c r="Q558" s="57"/>
      <c r="R558" s="57"/>
      <c r="S558" s="57"/>
      <c r="T558" s="57"/>
      <c r="U558" s="57"/>
      <c r="V558" s="57"/>
      <c r="W558" s="57"/>
      <c r="X558" s="57"/>
      <c r="Y558" s="98"/>
      <c r="AA558" s="98"/>
      <c r="AR558" s="98"/>
      <c r="AS558" s="57"/>
      <c r="AU558" s="57"/>
      <c r="BF558" s="98"/>
      <c r="BG558" s="98"/>
      <c r="BH558" s="98"/>
      <c r="BI558" s="98"/>
      <c r="BJ558" s="98"/>
      <c r="BK558" s="98"/>
      <c r="BL558" s="98"/>
      <c r="BM558" s="57"/>
    </row>
    <row r="559" spans="1:65" ht="11.25" x14ac:dyDescent="0.2">
      <c r="A559" s="57"/>
      <c r="B559" s="57"/>
      <c r="C559" s="57"/>
      <c r="D559" s="57"/>
      <c r="E559" s="57"/>
      <c r="F559" s="57"/>
      <c r="G559" s="57"/>
      <c r="H559" s="57"/>
      <c r="I559" s="57"/>
      <c r="J559" s="57"/>
      <c r="L559" s="57"/>
      <c r="M559" s="57"/>
      <c r="N559" s="57"/>
      <c r="O559" s="57"/>
      <c r="P559" s="57"/>
      <c r="Q559" s="57"/>
      <c r="R559" s="57"/>
      <c r="S559" s="57"/>
      <c r="T559" s="57"/>
      <c r="U559" s="57"/>
      <c r="V559" s="57"/>
      <c r="W559" s="57"/>
      <c r="X559" s="57"/>
      <c r="Y559" s="98"/>
      <c r="AA559" s="98"/>
      <c r="AR559" s="98"/>
      <c r="AS559" s="57"/>
      <c r="AU559" s="57"/>
      <c r="BF559" s="98"/>
      <c r="BG559" s="98"/>
      <c r="BH559" s="98"/>
      <c r="BI559" s="98"/>
      <c r="BJ559" s="98"/>
      <c r="BK559" s="98"/>
      <c r="BL559" s="98"/>
      <c r="BM559" s="57"/>
    </row>
    <row r="560" spans="1:65" ht="11.25" x14ac:dyDescent="0.2">
      <c r="A560" s="57"/>
      <c r="B560" s="57"/>
      <c r="C560" s="57"/>
      <c r="D560" s="57"/>
      <c r="E560" s="57"/>
      <c r="F560" s="57"/>
      <c r="G560" s="57"/>
      <c r="H560" s="57"/>
      <c r="I560" s="57"/>
      <c r="J560" s="57"/>
      <c r="L560" s="57"/>
      <c r="M560" s="57"/>
      <c r="N560" s="57"/>
      <c r="O560" s="57"/>
      <c r="P560" s="57"/>
      <c r="Q560" s="57"/>
      <c r="R560" s="57"/>
      <c r="S560" s="57"/>
      <c r="T560" s="57"/>
      <c r="U560" s="57"/>
      <c r="V560" s="57"/>
      <c r="W560" s="57"/>
      <c r="X560" s="57"/>
      <c r="Y560" s="98"/>
      <c r="AA560" s="98"/>
      <c r="AR560" s="98"/>
      <c r="AS560" s="57"/>
      <c r="AU560" s="57"/>
      <c r="BF560" s="98"/>
      <c r="BG560" s="98"/>
      <c r="BH560" s="98"/>
      <c r="BI560" s="98"/>
      <c r="BJ560" s="98"/>
      <c r="BK560" s="98"/>
      <c r="BL560" s="98"/>
      <c r="BM560" s="57"/>
    </row>
    <row r="561" spans="1:65" ht="11.25" x14ac:dyDescent="0.2">
      <c r="A561" s="57"/>
      <c r="B561" s="57"/>
      <c r="C561" s="57"/>
      <c r="D561" s="57"/>
      <c r="E561" s="57"/>
      <c r="F561" s="57"/>
      <c r="G561" s="57"/>
      <c r="H561" s="57"/>
      <c r="I561" s="57"/>
      <c r="J561" s="57"/>
      <c r="L561" s="57"/>
      <c r="M561" s="57"/>
      <c r="N561" s="57"/>
      <c r="O561" s="57"/>
      <c r="P561" s="57"/>
      <c r="Q561" s="57"/>
      <c r="R561" s="57"/>
      <c r="S561" s="57"/>
      <c r="T561" s="57"/>
      <c r="U561" s="57"/>
      <c r="V561" s="57"/>
      <c r="W561" s="57"/>
      <c r="X561" s="57"/>
      <c r="Y561" s="98"/>
      <c r="AA561" s="98"/>
      <c r="AR561" s="98"/>
      <c r="AS561" s="57"/>
      <c r="AU561" s="57"/>
      <c r="BF561" s="98"/>
      <c r="BG561" s="98"/>
      <c r="BH561" s="98"/>
      <c r="BI561" s="98"/>
      <c r="BJ561" s="98"/>
      <c r="BK561" s="98"/>
      <c r="BL561" s="98"/>
      <c r="BM561" s="57"/>
    </row>
    <row r="562" spans="1:65" ht="11.25" x14ac:dyDescent="0.2">
      <c r="A562" s="57"/>
      <c r="B562" s="57"/>
      <c r="C562" s="57"/>
      <c r="D562" s="57"/>
      <c r="E562" s="57"/>
      <c r="F562" s="57"/>
      <c r="G562" s="57"/>
      <c r="H562" s="57"/>
      <c r="I562" s="57"/>
      <c r="J562" s="57"/>
      <c r="L562" s="57"/>
      <c r="M562" s="57"/>
      <c r="N562" s="57"/>
      <c r="O562" s="57"/>
      <c r="P562" s="57"/>
      <c r="Q562" s="57"/>
      <c r="R562" s="57"/>
      <c r="S562" s="57"/>
      <c r="T562" s="57"/>
      <c r="U562" s="57"/>
      <c r="V562" s="57"/>
      <c r="W562" s="57"/>
      <c r="X562" s="57"/>
      <c r="Y562" s="98"/>
      <c r="AA562" s="98"/>
      <c r="AR562" s="98"/>
      <c r="AS562" s="57"/>
      <c r="AU562" s="57"/>
      <c r="BF562" s="98"/>
      <c r="BG562" s="98"/>
      <c r="BH562" s="98"/>
      <c r="BI562" s="98"/>
      <c r="BJ562" s="98"/>
      <c r="BK562" s="98"/>
      <c r="BL562" s="98"/>
      <c r="BM562" s="57"/>
    </row>
    <row r="563" spans="1:65" ht="11.25" x14ac:dyDescent="0.2">
      <c r="A563" s="57"/>
      <c r="B563" s="57"/>
      <c r="C563" s="57"/>
      <c r="D563" s="57"/>
      <c r="E563" s="57"/>
      <c r="F563" s="57"/>
      <c r="G563" s="57"/>
      <c r="H563" s="57"/>
      <c r="I563" s="57"/>
      <c r="J563" s="57"/>
      <c r="L563" s="57"/>
      <c r="M563" s="57"/>
      <c r="N563" s="57"/>
      <c r="O563" s="57"/>
      <c r="P563" s="57"/>
      <c r="Q563" s="57"/>
      <c r="R563" s="57"/>
      <c r="S563" s="57"/>
      <c r="T563" s="57"/>
      <c r="U563" s="57"/>
      <c r="V563" s="57"/>
      <c r="W563" s="57"/>
      <c r="X563" s="57"/>
      <c r="Y563" s="98"/>
      <c r="AA563" s="98"/>
      <c r="AR563" s="98"/>
      <c r="AS563" s="57"/>
      <c r="AU563" s="57"/>
      <c r="BF563" s="98"/>
      <c r="BG563" s="98"/>
      <c r="BH563" s="98"/>
      <c r="BI563" s="98"/>
      <c r="BJ563" s="98"/>
      <c r="BK563" s="98"/>
      <c r="BL563" s="98"/>
      <c r="BM563" s="57"/>
    </row>
    <row r="564" spans="1:65" ht="11.25" x14ac:dyDescent="0.2">
      <c r="A564" s="57"/>
      <c r="B564" s="57"/>
      <c r="C564" s="57"/>
      <c r="D564" s="57"/>
      <c r="E564" s="57"/>
      <c r="F564" s="57"/>
      <c r="G564" s="57"/>
      <c r="H564" s="57"/>
      <c r="I564" s="57"/>
      <c r="J564" s="57"/>
      <c r="L564" s="57"/>
      <c r="M564" s="57"/>
      <c r="N564" s="57"/>
      <c r="O564" s="57"/>
      <c r="P564" s="57"/>
      <c r="Q564" s="57"/>
      <c r="R564" s="57"/>
      <c r="S564" s="57"/>
      <c r="T564" s="57"/>
      <c r="U564" s="57"/>
      <c r="V564" s="57"/>
      <c r="W564" s="57"/>
      <c r="X564" s="57"/>
      <c r="Y564" s="98"/>
      <c r="AA564" s="98"/>
      <c r="AR564" s="98"/>
      <c r="AS564" s="57"/>
      <c r="AU564" s="57"/>
      <c r="BF564" s="98"/>
      <c r="BG564" s="98"/>
      <c r="BH564" s="98"/>
      <c r="BI564" s="98"/>
      <c r="BJ564" s="98"/>
      <c r="BK564" s="98"/>
      <c r="BL564" s="98"/>
      <c r="BM564" s="57"/>
    </row>
    <row r="565" spans="1:65" ht="11.25" x14ac:dyDescent="0.2">
      <c r="A565" s="57"/>
      <c r="B565" s="57"/>
      <c r="C565" s="57"/>
      <c r="D565" s="57"/>
      <c r="E565" s="57"/>
      <c r="F565" s="57"/>
      <c r="G565" s="57"/>
      <c r="H565" s="57"/>
      <c r="I565" s="57"/>
      <c r="J565" s="57"/>
      <c r="L565" s="57"/>
      <c r="M565" s="57"/>
      <c r="N565" s="57"/>
      <c r="O565" s="57"/>
      <c r="P565" s="57"/>
      <c r="Q565" s="57"/>
      <c r="R565" s="57"/>
      <c r="S565" s="57"/>
      <c r="T565" s="57"/>
      <c r="U565" s="57"/>
      <c r="V565" s="57"/>
      <c r="W565" s="57"/>
      <c r="X565" s="57"/>
      <c r="Y565" s="98"/>
      <c r="AA565" s="98"/>
      <c r="AR565" s="98"/>
      <c r="AS565" s="57"/>
      <c r="AU565" s="57"/>
      <c r="BF565" s="98"/>
      <c r="BG565" s="98"/>
      <c r="BH565" s="98"/>
      <c r="BI565" s="98"/>
      <c r="BJ565" s="98"/>
      <c r="BK565" s="98"/>
      <c r="BL565" s="98"/>
      <c r="BM565" s="57"/>
    </row>
    <row r="566" spans="1:65" ht="11.25" x14ac:dyDescent="0.2">
      <c r="A566" s="57"/>
      <c r="B566" s="57"/>
      <c r="C566" s="57"/>
      <c r="D566" s="57"/>
      <c r="E566" s="57"/>
      <c r="F566" s="57"/>
      <c r="G566" s="57"/>
      <c r="H566" s="57"/>
      <c r="I566" s="57"/>
      <c r="J566" s="57"/>
      <c r="L566" s="57"/>
      <c r="M566" s="57"/>
      <c r="N566" s="57"/>
      <c r="O566" s="57"/>
      <c r="P566" s="57"/>
      <c r="Q566" s="57"/>
      <c r="R566" s="57"/>
      <c r="S566" s="57"/>
      <c r="T566" s="57"/>
      <c r="U566" s="57"/>
      <c r="V566" s="57"/>
      <c r="W566" s="57"/>
      <c r="X566" s="57"/>
      <c r="Y566" s="98"/>
      <c r="AA566" s="98"/>
      <c r="AR566" s="98"/>
      <c r="AS566" s="57"/>
      <c r="AU566" s="57"/>
      <c r="BF566" s="98"/>
      <c r="BG566" s="98"/>
      <c r="BH566" s="98"/>
      <c r="BI566" s="98"/>
      <c r="BJ566" s="98"/>
      <c r="BK566" s="98"/>
      <c r="BL566" s="98"/>
      <c r="BM566" s="57"/>
    </row>
    <row r="567" spans="1:65" ht="11.25" x14ac:dyDescent="0.2">
      <c r="A567" s="57"/>
      <c r="B567" s="57"/>
      <c r="C567" s="57"/>
      <c r="D567" s="57"/>
      <c r="E567" s="57"/>
      <c r="F567" s="57"/>
      <c r="G567" s="57"/>
      <c r="H567" s="57"/>
      <c r="I567" s="57"/>
      <c r="J567" s="57"/>
      <c r="L567" s="57"/>
      <c r="M567" s="57"/>
      <c r="N567" s="57"/>
      <c r="O567" s="57"/>
      <c r="P567" s="57"/>
      <c r="Q567" s="57"/>
      <c r="R567" s="57"/>
      <c r="S567" s="57"/>
      <c r="T567" s="57"/>
      <c r="U567" s="57"/>
      <c r="V567" s="57"/>
      <c r="W567" s="57"/>
      <c r="X567" s="57"/>
      <c r="Y567" s="98"/>
      <c r="AA567" s="98"/>
      <c r="AR567" s="98"/>
      <c r="AS567" s="57"/>
      <c r="AU567" s="57"/>
      <c r="BF567" s="98"/>
      <c r="BG567" s="98"/>
      <c r="BH567" s="98"/>
      <c r="BI567" s="98"/>
      <c r="BJ567" s="98"/>
      <c r="BK567" s="98"/>
      <c r="BL567" s="98"/>
      <c r="BM567" s="57"/>
    </row>
    <row r="568" spans="1:65" ht="11.25" x14ac:dyDescent="0.2">
      <c r="A568" s="57"/>
      <c r="B568" s="57"/>
      <c r="C568" s="57"/>
      <c r="D568" s="57"/>
      <c r="E568" s="57"/>
      <c r="F568" s="57"/>
      <c r="G568" s="57"/>
      <c r="H568" s="57"/>
      <c r="I568" s="57"/>
      <c r="J568" s="57"/>
      <c r="L568" s="57"/>
      <c r="M568" s="57"/>
      <c r="N568" s="57"/>
      <c r="O568" s="57"/>
      <c r="P568" s="57"/>
      <c r="Q568" s="57"/>
      <c r="R568" s="57"/>
      <c r="S568" s="57"/>
      <c r="T568" s="57"/>
      <c r="U568" s="57"/>
      <c r="V568" s="57"/>
      <c r="W568" s="57"/>
      <c r="X568" s="57"/>
      <c r="Y568" s="98"/>
      <c r="AA568" s="98"/>
      <c r="AR568" s="98"/>
      <c r="AS568" s="57"/>
      <c r="AU568" s="57"/>
      <c r="BF568" s="98"/>
      <c r="BG568" s="98"/>
      <c r="BH568" s="98"/>
      <c r="BI568" s="98"/>
      <c r="BJ568" s="98"/>
      <c r="BK568" s="98"/>
      <c r="BL568" s="98"/>
      <c r="BM568" s="57"/>
    </row>
    <row r="569" spans="1:65" ht="11.25" x14ac:dyDescent="0.2">
      <c r="A569" s="57"/>
      <c r="B569" s="57"/>
      <c r="C569" s="57"/>
      <c r="D569" s="57"/>
      <c r="E569" s="57"/>
      <c r="F569" s="57"/>
      <c r="G569" s="57"/>
      <c r="H569" s="57"/>
      <c r="I569" s="57"/>
      <c r="J569" s="57"/>
      <c r="L569" s="57"/>
      <c r="M569" s="57"/>
      <c r="N569" s="57"/>
      <c r="O569" s="57"/>
      <c r="P569" s="57"/>
      <c r="Q569" s="57"/>
      <c r="R569" s="57"/>
      <c r="S569" s="57"/>
      <c r="T569" s="57"/>
      <c r="U569" s="57"/>
      <c r="V569" s="57"/>
      <c r="W569" s="57"/>
      <c r="X569" s="57"/>
      <c r="Y569" s="98"/>
      <c r="AA569" s="98"/>
      <c r="AR569" s="98"/>
      <c r="AS569" s="57"/>
      <c r="AU569" s="57"/>
      <c r="BF569" s="98"/>
      <c r="BG569" s="98"/>
      <c r="BH569" s="98"/>
      <c r="BI569" s="98"/>
      <c r="BJ569" s="98"/>
      <c r="BK569" s="98"/>
      <c r="BL569" s="98"/>
      <c r="BM569" s="57"/>
    </row>
    <row r="570" spans="1:65" ht="11.25" x14ac:dyDescent="0.2">
      <c r="A570" s="57"/>
      <c r="B570" s="57"/>
      <c r="C570" s="57"/>
      <c r="D570" s="57"/>
      <c r="E570" s="57"/>
      <c r="F570" s="57"/>
      <c r="G570" s="57"/>
      <c r="H570" s="57"/>
      <c r="I570" s="57"/>
      <c r="J570" s="57"/>
      <c r="L570" s="57"/>
      <c r="M570" s="57"/>
      <c r="N570" s="57"/>
      <c r="O570" s="57"/>
      <c r="P570" s="57"/>
      <c r="Q570" s="57"/>
      <c r="R570" s="57"/>
      <c r="S570" s="57"/>
      <c r="T570" s="57"/>
      <c r="U570" s="57"/>
      <c r="V570" s="57"/>
      <c r="W570" s="57"/>
      <c r="X570" s="57"/>
      <c r="Y570" s="98"/>
      <c r="AA570" s="98"/>
      <c r="AR570" s="98"/>
      <c r="AS570" s="57"/>
      <c r="AU570" s="57"/>
      <c r="BF570" s="98"/>
      <c r="BG570" s="98"/>
      <c r="BH570" s="98"/>
      <c r="BI570" s="98"/>
      <c r="BJ570" s="98"/>
      <c r="BK570" s="98"/>
      <c r="BL570" s="98"/>
      <c r="BM570" s="57"/>
    </row>
    <row r="571" spans="1:65" ht="11.25" x14ac:dyDescent="0.2">
      <c r="A571" s="57"/>
      <c r="B571" s="57"/>
      <c r="C571" s="57"/>
      <c r="D571" s="57"/>
      <c r="E571" s="57"/>
      <c r="F571" s="57"/>
      <c r="G571" s="57"/>
      <c r="H571" s="57"/>
      <c r="I571" s="57"/>
      <c r="J571" s="57"/>
      <c r="L571" s="57"/>
      <c r="M571" s="57"/>
      <c r="N571" s="57"/>
      <c r="O571" s="57"/>
      <c r="P571" s="57"/>
      <c r="Q571" s="57"/>
      <c r="R571" s="57"/>
      <c r="S571" s="57"/>
      <c r="T571" s="57"/>
      <c r="U571" s="57"/>
      <c r="V571" s="57"/>
      <c r="W571" s="57"/>
      <c r="X571" s="57"/>
      <c r="Y571" s="98"/>
      <c r="AA571" s="98"/>
      <c r="AR571" s="98"/>
      <c r="AS571" s="57"/>
      <c r="AU571" s="57"/>
      <c r="BF571" s="98"/>
      <c r="BG571" s="98"/>
      <c r="BH571" s="98"/>
      <c r="BI571" s="98"/>
      <c r="BJ571" s="98"/>
      <c r="BK571" s="98"/>
      <c r="BL571" s="98"/>
      <c r="BM571" s="57"/>
    </row>
    <row r="572" spans="1:65" ht="11.25" x14ac:dyDescent="0.2">
      <c r="A572" s="57"/>
      <c r="B572" s="57"/>
      <c r="C572" s="57"/>
      <c r="D572" s="57"/>
      <c r="E572" s="57"/>
      <c r="F572" s="57"/>
      <c r="G572" s="57"/>
      <c r="H572" s="57"/>
      <c r="I572" s="57"/>
      <c r="J572" s="57"/>
      <c r="L572" s="57"/>
      <c r="M572" s="57"/>
      <c r="N572" s="57"/>
      <c r="O572" s="57"/>
      <c r="P572" s="57"/>
      <c r="Q572" s="57"/>
      <c r="R572" s="57"/>
      <c r="S572" s="57"/>
      <c r="T572" s="57"/>
      <c r="U572" s="57"/>
      <c r="V572" s="57"/>
      <c r="W572" s="57"/>
      <c r="X572" s="57"/>
      <c r="Y572" s="98"/>
      <c r="AA572" s="98"/>
      <c r="AR572" s="98"/>
      <c r="AS572" s="57"/>
      <c r="AU572" s="57"/>
      <c r="BF572" s="98"/>
      <c r="BG572" s="98"/>
      <c r="BH572" s="98"/>
      <c r="BI572" s="98"/>
      <c r="BJ572" s="98"/>
      <c r="BK572" s="98"/>
      <c r="BL572" s="98"/>
      <c r="BM572" s="57"/>
    </row>
    <row r="573" spans="1:65" ht="11.25" x14ac:dyDescent="0.2">
      <c r="A573" s="57"/>
      <c r="B573" s="57"/>
      <c r="C573" s="57"/>
      <c r="D573" s="57"/>
      <c r="E573" s="57"/>
      <c r="F573" s="57"/>
      <c r="G573" s="57"/>
      <c r="H573" s="57"/>
      <c r="I573" s="57"/>
      <c r="J573" s="57"/>
      <c r="L573" s="57"/>
      <c r="M573" s="57"/>
      <c r="N573" s="57"/>
      <c r="O573" s="57"/>
      <c r="P573" s="57"/>
      <c r="Q573" s="57"/>
      <c r="R573" s="57"/>
      <c r="S573" s="57"/>
      <c r="T573" s="57"/>
      <c r="U573" s="57"/>
      <c r="V573" s="57"/>
      <c r="W573" s="57"/>
      <c r="X573" s="57"/>
      <c r="Y573" s="98"/>
      <c r="AA573" s="98"/>
      <c r="AR573" s="98"/>
      <c r="AS573" s="57"/>
      <c r="AU573" s="57"/>
      <c r="BF573" s="98"/>
      <c r="BG573" s="98"/>
      <c r="BH573" s="98"/>
      <c r="BI573" s="98"/>
      <c r="BJ573" s="98"/>
      <c r="BK573" s="98"/>
      <c r="BL573" s="98"/>
      <c r="BM573" s="57"/>
    </row>
    <row r="574" spans="1:65" ht="11.25" x14ac:dyDescent="0.2">
      <c r="A574" s="57"/>
      <c r="B574" s="57"/>
      <c r="C574" s="57"/>
      <c r="D574" s="57"/>
      <c r="E574" s="57"/>
      <c r="F574" s="57"/>
      <c r="G574" s="57"/>
      <c r="H574" s="57"/>
      <c r="I574" s="57"/>
      <c r="J574" s="57"/>
      <c r="L574" s="57"/>
      <c r="M574" s="57"/>
      <c r="N574" s="57"/>
      <c r="O574" s="57"/>
      <c r="P574" s="57"/>
      <c r="Q574" s="57"/>
      <c r="R574" s="57"/>
      <c r="S574" s="57"/>
      <c r="T574" s="57"/>
      <c r="U574" s="57"/>
      <c r="V574" s="57"/>
      <c r="W574" s="57"/>
      <c r="X574" s="57"/>
      <c r="Y574" s="98"/>
      <c r="AA574" s="98"/>
      <c r="AR574" s="98"/>
      <c r="AS574" s="57"/>
      <c r="AU574" s="57"/>
      <c r="BF574" s="98"/>
      <c r="BG574" s="98"/>
      <c r="BH574" s="98"/>
      <c r="BI574" s="98"/>
      <c r="BJ574" s="98"/>
      <c r="BK574" s="98"/>
      <c r="BL574" s="98"/>
      <c r="BM574" s="57"/>
    </row>
    <row r="575" spans="1:65" ht="11.25" x14ac:dyDescent="0.2">
      <c r="A575" s="57"/>
      <c r="B575" s="57"/>
      <c r="C575" s="57"/>
      <c r="D575" s="57"/>
      <c r="E575" s="57"/>
      <c r="F575" s="57"/>
      <c r="G575" s="57"/>
      <c r="H575" s="57"/>
      <c r="I575" s="57"/>
      <c r="J575" s="57"/>
      <c r="L575" s="57"/>
      <c r="M575" s="57"/>
      <c r="N575" s="57"/>
      <c r="O575" s="57"/>
      <c r="P575" s="57"/>
      <c r="Q575" s="57"/>
      <c r="R575" s="57"/>
      <c r="S575" s="57"/>
      <c r="T575" s="57"/>
      <c r="U575" s="57"/>
      <c r="V575" s="57"/>
      <c r="W575" s="57"/>
      <c r="X575" s="57"/>
      <c r="Y575" s="98"/>
      <c r="AA575" s="98"/>
      <c r="AR575" s="98"/>
      <c r="AS575" s="57"/>
      <c r="AU575" s="57"/>
      <c r="BF575" s="98"/>
      <c r="BG575" s="98"/>
      <c r="BH575" s="98"/>
      <c r="BI575" s="98"/>
      <c r="BJ575" s="98"/>
      <c r="BK575" s="98"/>
      <c r="BL575" s="98"/>
      <c r="BM575" s="57"/>
    </row>
    <row r="576" spans="1:65" ht="11.25" x14ac:dyDescent="0.2">
      <c r="A576" s="57"/>
      <c r="B576" s="57"/>
      <c r="C576" s="57"/>
      <c r="D576" s="57"/>
      <c r="E576" s="57"/>
      <c r="F576" s="57"/>
      <c r="G576" s="57"/>
      <c r="H576" s="57"/>
      <c r="I576" s="57"/>
      <c r="J576" s="57"/>
      <c r="L576" s="57"/>
      <c r="M576" s="57"/>
      <c r="N576" s="57"/>
      <c r="O576" s="57"/>
      <c r="P576" s="57"/>
      <c r="Q576" s="57"/>
      <c r="R576" s="57"/>
      <c r="S576" s="57"/>
      <c r="T576" s="57"/>
      <c r="U576" s="57"/>
      <c r="V576" s="57"/>
      <c r="W576" s="57"/>
      <c r="X576" s="57"/>
      <c r="Y576" s="98"/>
      <c r="AA576" s="98"/>
      <c r="AR576" s="98"/>
      <c r="AS576" s="57"/>
      <c r="AU576" s="57"/>
      <c r="BF576" s="98"/>
      <c r="BG576" s="98"/>
      <c r="BH576" s="98"/>
      <c r="BI576" s="98"/>
      <c r="BJ576" s="98"/>
      <c r="BK576" s="98"/>
      <c r="BL576" s="98"/>
      <c r="BM576" s="57"/>
    </row>
    <row r="577" spans="1:65" ht="11.25" x14ac:dyDescent="0.2">
      <c r="A577" s="57"/>
      <c r="B577" s="57"/>
      <c r="C577" s="57"/>
      <c r="D577" s="57"/>
      <c r="E577" s="57"/>
      <c r="F577" s="57"/>
      <c r="G577" s="57"/>
      <c r="H577" s="57"/>
      <c r="I577" s="57"/>
      <c r="J577" s="57"/>
      <c r="L577" s="57"/>
      <c r="M577" s="57"/>
      <c r="N577" s="57"/>
      <c r="O577" s="57"/>
      <c r="P577" s="57"/>
      <c r="Q577" s="57"/>
      <c r="R577" s="57"/>
      <c r="S577" s="57"/>
      <c r="T577" s="57"/>
      <c r="U577" s="57"/>
      <c r="V577" s="57"/>
      <c r="W577" s="57"/>
      <c r="X577" s="57"/>
      <c r="Y577" s="98"/>
      <c r="AA577" s="98"/>
      <c r="AR577" s="98"/>
      <c r="AS577" s="57"/>
      <c r="AU577" s="57"/>
      <c r="BF577" s="98"/>
      <c r="BG577" s="98"/>
      <c r="BH577" s="98"/>
      <c r="BI577" s="98"/>
      <c r="BJ577" s="98"/>
      <c r="BK577" s="98"/>
      <c r="BL577" s="98"/>
      <c r="BM577" s="57"/>
    </row>
    <row r="578" spans="1:65" ht="11.25" x14ac:dyDescent="0.2">
      <c r="A578" s="57"/>
      <c r="B578" s="57"/>
      <c r="C578" s="57"/>
      <c r="D578" s="57"/>
      <c r="E578" s="57"/>
      <c r="F578" s="57"/>
      <c r="G578" s="57"/>
      <c r="H578" s="57"/>
      <c r="I578" s="57"/>
      <c r="J578" s="57"/>
      <c r="L578" s="57"/>
      <c r="M578" s="57"/>
      <c r="N578" s="57"/>
      <c r="O578" s="57"/>
      <c r="P578" s="57"/>
      <c r="Q578" s="57"/>
      <c r="R578" s="57"/>
      <c r="S578" s="57"/>
      <c r="T578" s="57"/>
      <c r="U578" s="57"/>
      <c r="V578" s="57"/>
      <c r="W578" s="57"/>
      <c r="X578" s="57"/>
      <c r="Y578" s="98"/>
      <c r="AA578" s="98"/>
      <c r="AR578" s="98"/>
      <c r="AS578" s="57"/>
      <c r="AU578" s="57"/>
      <c r="BF578" s="98"/>
      <c r="BG578" s="98"/>
      <c r="BH578" s="98"/>
      <c r="BI578" s="98"/>
      <c r="BJ578" s="98"/>
      <c r="BK578" s="98"/>
      <c r="BL578" s="98"/>
      <c r="BM578" s="57"/>
    </row>
    <row r="579" spans="1:65" ht="11.25" x14ac:dyDescent="0.2">
      <c r="A579" s="57"/>
      <c r="B579" s="57"/>
      <c r="C579" s="57"/>
      <c r="D579" s="57"/>
      <c r="E579" s="57"/>
      <c r="F579" s="57"/>
      <c r="G579" s="57"/>
      <c r="H579" s="57"/>
      <c r="I579" s="57"/>
      <c r="J579" s="57"/>
      <c r="L579" s="57"/>
      <c r="M579" s="57"/>
      <c r="N579" s="57"/>
      <c r="O579" s="57"/>
      <c r="P579" s="57"/>
      <c r="Q579" s="57"/>
      <c r="R579" s="57"/>
      <c r="S579" s="57"/>
      <c r="T579" s="57"/>
      <c r="U579" s="57"/>
      <c r="V579" s="57"/>
      <c r="W579" s="57"/>
      <c r="X579" s="57"/>
      <c r="Y579" s="98"/>
      <c r="AA579" s="98"/>
      <c r="AR579" s="98"/>
      <c r="AS579" s="57"/>
      <c r="AU579" s="57"/>
      <c r="BF579" s="98"/>
      <c r="BG579" s="98"/>
      <c r="BH579" s="98"/>
      <c r="BI579" s="98"/>
      <c r="BJ579" s="98"/>
      <c r="BK579" s="98"/>
      <c r="BL579" s="98"/>
      <c r="BM579" s="57"/>
    </row>
    <row r="580" spans="1:65" ht="11.25" x14ac:dyDescent="0.2">
      <c r="A580" s="57"/>
      <c r="B580" s="57"/>
      <c r="C580" s="57"/>
      <c r="D580" s="57"/>
      <c r="E580" s="57"/>
      <c r="F580" s="57"/>
      <c r="G580" s="57"/>
      <c r="H580" s="57"/>
      <c r="I580" s="57"/>
      <c r="J580" s="57"/>
      <c r="L580" s="57"/>
      <c r="M580" s="57"/>
      <c r="N580" s="57"/>
      <c r="O580" s="57"/>
      <c r="P580" s="57"/>
      <c r="Q580" s="57"/>
      <c r="R580" s="57"/>
      <c r="S580" s="57"/>
      <c r="T580" s="57"/>
      <c r="U580" s="57"/>
      <c r="V580" s="57"/>
      <c r="W580" s="57"/>
      <c r="X580" s="57"/>
      <c r="Y580" s="98"/>
      <c r="AA580" s="98"/>
      <c r="AR580" s="98"/>
      <c r="AS580" s="57"/>
      <c r="AU580" s="57"/>
      <c r="BF580" s="98"/>
      <c r="BG580" s="98"/>
      <c r="BH580" s="98"/>
      <c r="BI580" s="98"/>
      <c r="BJ580" s="98"/>
      <c r="BK580" s="98"/>
      <c r="BL580" s="98"/>
      <c r="BM580" s="57"/>
    </row>
    <row r="581" spans="1:65" ht="11.25" x14ac:dyDescent="0.2">
      <c r="A581" s="57"/>
      <c r="B581" s="57"/>
      <c r="C581" s="57"/>
      <c r="D581" s="57"/>
      <c r="E581" s="57"/>
      <c r="F581" s="57"/>
      <c r="G581" s="57"/>
      <c r="H581" s="57"/>
      <c r="I581" s="57"/>
      <c r="J581" s="57"/>
      <c r="L581" s="57"/>
      <c r="M581" s="57"/>
      <c r="N581" s="57"/>
      <c r="O581" s="57"/>
      <c r="P581" s="57"/>
      <c r="Q581" s="57"/>
      <c r="R581" s="57"/>
      <c r="S581" s="57"/>
      <c r="T581" s="57"/>
      <c r="U581" s="57"/>
      <c r="V581" s="57"/>
      <c r="W581" s="57"/>
      <c r="X581" s="57"/>
      <c r="Y581" s="98"/>
      <c r="AA581" s="98"/>
      <c r="AR581" s="98"/>
      <c r="AS581" s="57"/>
      <c r="AU581" s="57"/>
      <c r="BF581" s="98"/>
      <c r="BG581" s="98"/>
      <c r="BH581" s="98"/>
      <c r="BI581" s="98"/>
      <c r="BJ581" s="98"/>
      <c r="BK581" s="98"/>
      <c r="BL581" s="98"/>
      <c r="BM581" s="57"/>
    </row>
    <row r="582" spans="1:65" ht="11.25" x14ac:dyDescent="0.2">
      <c r="A582" s="57"/>
      <c r="B582" s="57"/>
      <c r="C582" s="57"/>
      <c r="D582" s="57"/>
      <c r="E582" s="57"/>
      <c r="F582" s="57"/>
      <c r="G582" s="57"/>
      <c r="H582" s="57"/>
      <c r="I582" s="57"/>
      <c r="J582" s="57"/>
      <c r="L582" s="57"/>
      <c r="M582" s="57"/>
      <c r="N582" s="57"/>
      <c r="O582" s="57"/>
      <c r="P582" s="57"/>
      <c r="Q582" s="57"/>
      <c r="R582" s="57"/>
      <c r="S582" s="57"/>
      <c r="T582" s="57"/>
      <c r="U582" s="57"/>
      <c r="V582" s="57"/>
      <c r="W582" s="57"/>
      <c r="X582" s="57"/>
      <c r="Y582" s="98"/>
      <c r="AA582" s="98"/>
      <c r="AR582" s="98"/>
      <c r="AS582" s="57"/>
      <c r="AU582" s="57"/>
      <c r="BF582" s="98"/>
      <c r="BG582" s="98"/>
      <c r="BH582" s="98"/>
      <c r="BI582" s="98"/>
      <c r="BJ582" s="98"/>
      <c r="BK582" s="98"/>
      <c r="BL582" s="98"/>
      <c r="BM582" s="57"/>
    </row>
    <row r="583" spans="1:65" ht="11.25" x14ac:dyDescent="0.2">
      <c r="A583" s="57"/>
      <c r="B583" s="57"/>
      <c r="C583" s="57"/>
      <c r="D583" s="57"/>
      <c r="E583" s="57"/>
      <c r="F583" s="57"/>
      <c r="G583" s="57"/>
      <c r="H583" s="57"/>
      <c r="I583" s="57"/>
      <c r="J583" s="57"/>
      <c r="L583" s="57"/>
      <c r="M583" s="57"/>
      <c r="N583" s="57"/>
      <c r="O583" s="57"/>
      <c r="P583" s="57"/>
      <c r="Q583" s="57"/>
      <c r="R583" s="57"/>
      <c r="S583" s="57"/>
      <c r="T583" s="57"/>
      <c r="U583" s="57"/>
      <c r="V583" s="57"/>
      <c r="W583" s="57"/>
      <c r="X583" s="57"/>
      <c r="Y583" s="98"/>
      <c r="AA583" s="98"/>
      <c r="AR583" s="98"/>
      <c r="AS583" s="57"/>
      <c r="AU583" s="57"/>
      <c r="BF583" s="98"/>
      <c r="BG583" s="98"/>
      <c r="BH583" s="98"/>
      <c r="BI583" s="98"/>
      <c r="BJ583" s="98"/>
      <c r="BK583" s="98"/>
      <c r="BL583" s="98"/>
      <c r="BM583" s="57"/>
    </row>
    <row r="584" spans="1:65" ht="11.25" x14ac:dyDescent="0.2">
      <c r="A584" s="57"/>
      <c r="B584" s="57"/>
      <c r="C584" s="57"/>
      <c r="D584" s="57"/>
      <c r="E584" s="57"/>
      <c r="F584" s="57"/>
      <c r="G584" s="57"/>
      <c r="H584" s="57"/>
      <c r="I584" s="57"/>
      <c r="J584" s="57"/>
      <c r="L584" s="57"/>
      <c r="M584" s="57"/>
      <c r="N584" s="57"/>
      <c r="O584" s="57"/>
      <c r="P584" s="57"/>
      <c r="Q584" s="57"/>
      <c r="R584" s="57"/>
      <c r="S584" s="57"/>
      <c r="T584" s="57"/>
      <c r="U584" s="57"/>
      <c r="V584" s="57"/>
      <c r="W584" s="57"/>
      <c r="X584" s="57"/>
      <c r="Y584" s="98"/>
      <c r="AA584" s="98"/>
      <c r="AR584" s="98"/>
      <c r="AS584" s="57"/>
      <c r="AU584" s="57"/>
      <c r="BF584" s="98"/>
      <c r="BG584" s="98"/>
      <c r="BH584" s="98"/>
      <c r="BI584" s="98"/>
      <c r="BJ584" s="98"/>
      <c r="BK584" s="98"/>
      <c r="BL584" s="98"/>
      <c r="BM584" s="57"/>
    </row>
    <row r="585" spans="1:65" ht="11.25" x14ac:dyDescent="0.2">
      <c r="A585" s="57"/>
      <c r="B585" s="57"/>
      <c r="C585" s="57"/>
      <c r="D585" s="57"/>
      <c r="E585" s="57"/>
      <c r="F585" s="57"/>
      <c r="G585" s="57"/>
      <c r="H585" s="57"/>
      <c r="I585" s="57"/>
      <c r="J585" s="57"/>
      <c r="L585" s="57"/>
      <c r="M585" s="57"/>
      <c r="N585" s="57"/>
      <c r="O585" s="57"/>
      <c r="P585" s="57"/>
      <c r="Q585" s="57"/>
      <c r="R585" s="57"/>
      <c r="S585" s="57"/>
      <c r="T585" s="57"/>
      <c r="U585" s="57"/>
      <c r="V585" s="57"/>
      <c r="W585" s="57"/>
      <c r="X585" s="57"/>
      <c r="Y585" s="98"/>
      <c r="AA585" s="98"/>
      <c r="AR585" s="98"/>
      <c r="AS585" s="57"/>
      <c r="AU585" s="57"/>
      <c r="BF585" s="98"/>
      <c r="BG585" s="98"/>
      <c r="BH585" s="98"/>
      <c r="BI585" s="98"/>
      <c r="BJ585" s="98"/>
      <c r="BK585" s="98"/>
      <c r="BL585" s="98"/>
      <c r="BM585" s="57"/>
    </row>
    <row r="586" spans="1:65" ht="11.25" x14ac:dyDescent="0.2">
      <c r="A586" s="57"/>
      <c r="B586" s="57"/>
      <c r="C586" s="57"/>
      <c r="D586" s="57"/>
      <c r="E586" s="57"/>
      <c r="F586" s="57"/>
      <c r="G586" s="57"/>
      <c r="H586" s="57"/>
      <c r="I586" s="57"/>
      <c r="J586" s="57"/>
      <c r="L586" s="57"/>
      <c r="M586" s="57"/>
      <c r="N586" s="57"/>
      <c r="O586" s="57"/>
      <c r="P586" s="57"/>
      <c r="Q586" s="57"/>
      <c r="R586" s="57"/>
      <c r="S586" s="57"/>
      <c r="T586" s="57"/>
      <c r="U586" s="57"/>
      <c r="V586" s="57"/>
      <c r="W586" s="57"/>
      <c r="X586" s="57"/>
      <c r="Y586" s="98"/>
      <c r="AA586" s="98"/>
      <c r="AR586" s="98"/>
      <c r="AS586" s="57"/>
      <c r="AU586" s="57"/>
      <c r="BF586" s="98"/>
      <c r="BG586" s="98"/>
      <c r="BH586" s="98"/>
      <c r="BI586" s="98"/>
      <c r="BJ586" s="98"/>
      <c r="BK586" s="98"/>
      <c r="BL586" s="98"/>
      <c r="BM586" s="57"/>
    </row>
    <row r="587" spans="1:65" ht="11.25" x14ac:dyDescent="0.2">
      <c r="A587" s="57"/>
      <c r="B587" s="57"/>
      <c r="C587" s="57"/>
      <c r="D587" s="57"/>
      <c r="E587" s="57"/>
      <c r="F587" s="57"/>
      <c r="G587" s="57"/>
      <c r="H587" s="57"/>
      <c r="I587" s="57"/>
      <c r="J587" s="57"/>
      <c r="L587" s="57"/>
      <c r="M587" s="57"/>
      <c r="N587" s="57"/>
      <c r="O587" s="57"/>
      <c r="P587" s="57"/>
      <c r="Q587" s="57"/>
      <c r="R587" s="57"/>
      <c r="S587" s="57"/>
      <c r="T587" s="57"/>
      <c r="U587" s="57"/>
      <c r="V587" s="57"/>
      <c r="W587" s="57"/>
      <c r="X587" s="57"/>
      <c r="Y587" s="98"/>
      <c r="AA587" s="98"/>
      <c r="AR587" s="98"/>
      <c r="AS587" s="57"/>
      <c r="AU587" s="57"/>
      <c r="BF587" s="98"/>
      <c r="BG587" s="98"/>
      <c r="BH587" s="98"/>
      <c r="BI587" s="98"/>
      <c r="BJ587" s="98"/>
      <c r="BK587" s="98"/>
      <c r="BL587" s="98"/>
      <c r="BM587" s="57"/>
    </row>
    <row r="588" spans="1:65" ht="11.25" x14ac:dyDescent="0.2">
      <c r="A588" s="57"/>
      <c r="B588" s="57"/>
      <c r="C588" s="57"/>
      <c r="D588" s="57"/>
      <c r="E588" s="57"/>
      <c r="F588" s="57"/>
      <c r="G588" s="57"/>
      <c r="H588" s="57"/>
      <c r="I588" s="57"/>
      <c r="J588" s="57"/>
      <c r="L588" s="57"/>
      <c r="M588" s="57"/>
      <c r="N588" s="57"/>
      <c r="O588" s="57"/>
      <c r="P588" s="57"/>
      <c r="Q588" s="57"/>
      <c r="R588" s="57"/>
      <c r="S588" s="57"/>
      <c r="T588" s="57"/>
      <c r="U588" s="57"/>
      <c r="V588" s="57"/>
      <c r="W588" s="57"/>
      <c r="X588" s="57"/>
      <c r="Y588" s="98"/>
      <c r="AA588" s="98"/>
      <c r="AR588" s="98"/>
      <c r="AS588" s="57"/>
      <c r="AU588" s="57"/>
      <c r="BF588" s="98"/>
      <c r="BG588" s="98"/>
      <c r="BH588" s="98"/>
      <c r="BI588" s="98"/>
      <c r="BJ588" s="98"/>
      <c r="BK588" s="98"/>
      <c r="BL588" s="98"/>
      <c r="BM588" s="57"/>
    </row>
    <row r="589" spans="1:65" ht="11.25" x14ac:dyDescent="0.2">
      <c r="A589" s="57"/>
      <c r="B589" s="57"/>
      <c r="C589" s="57"/>
      <c r="D589" s="57"/>
      <c r="E589" s="57"/>
      <c r="F589" s="57"/>
      <c r="G589" s="57"/>
      <c r="H589" s="57"/>
      <c r="I589" s="57"/>
      <c r="J589" s="57"/>
      <c r="L589" s="57"/>
      <c r="M589" s="57"/>
      <c r="N589" s="57"/>
      <c r="O589" s="57"/>
      <c r="P589" s="57"/>
      <c r="Q589" s="57"/>
      <c r="R589" s="57"/>
      <c r="S589" s="57"/>
      <c r="T589" s="57"/>
      <c r="U589" s="57"/>
      <c r="V589" s="57"/>
      <c r="W589" s="57"/>
      <c r="X589" s="57"/>
      <c r="Y589" s="98"/>
      <c r="AA589" s="98"/>
      <c r="AR589" s="98"/>
      <c r="AS589" s="57"/>
      <c r="AU589" s="57"/>
      <c r="BF589" s="98"/>
      <c r="BG589" s="98"/>
      <c r="BH589" s="98"/>
      <c r="BI589" s="98"/>
      <c r="BJ589" s="98"/>
      <c r="BK589" s="98"/>
      <c r="BL589" s="98"/>
      <c r="BM589" s="57"/>
    </row>
    <row r="590" spans="1:65" ht="11.25" x14ac:dyDescent="0.2">
      <c r="A590" s="57"/>
      <c r="B590" s="57"/>
      <c r="C590" s="57"/>
      <c r="D590" s="57"/>
      <c r="E590" s="57"/>
      <c r="F590" s="57"/>
      <c r="G590" s="57"/>
      <c r="H590" s="57"/>
      <c r="I590" s="57"/>
      <c r="J590" s="57"/>
      <c r="L590" s="57"/>
      <c r="M590" s="57"/>
      <c r="N590" s="57"/>
      <c r="O590" s="57"/>
      <c r="P590" s="57"/>
      <c r="Q590" s="57"/>
      <c r="R590" s="57"/>
      <c r="S590" s="57"/>
      <c r="T590" s="57"/>
      <c r="U590" s="57"/>
      <c r="V590" s="57"/>
      <c r="W590" s="57"/>
      <c r="X590" s="57"/>
      <c r="Y590" s="98"/>
      <c r="AA590" s="98"/>
      <c r="AR590" s="98"/>
      <c r="AS590" s="57"/>
      <c r="AU590" s="57"/>
      <c r="BF590" s="98"/>
      <c r="BG590" s="98"/>
      <c r="BH590" s="98"/>
      <c r="BI590" s="98"/>
      <c r="BJ590" s="98"/>
      <c r="BK590" s="98"/>
      <c r="BL590" s="98"/>
      <c r="BM590" s="57"/>
    </row>
    <row r="591" spans="1:65" ht="11.25" x14ac:dyDescent="0.2">
      <c r="A591" s="57"/>
      <c r="B591" s="57"/>
      <c r="C591" s="57"/>
      <c r="D591" s="57"/>
      <c r="E591" s="57"/>
      <c r="F591" s="57"/>
      <c r="G591" s="57"/>
      <c r="H591" s="57"/>
      <c r="I591" s="57"/>
      <c r="J591" s="57"/>
      <c r="L591" s="57"/>
      <c r="M591" s="57"/>
      <c r="N591" s="57"/>
      <c r="O591" s="57"/>
      <c r="P591" s="57"/>
      <c r="Q591" s="57"/>
      <c r="R591" s="57"/>
      <c r="S591" s="57"/>
      <c r="T591" s="57"/>
      <c r="U591" s="57"/>
      <c r="V591" s="57"/>
      <c r="W591" s="57"/>
      <c r="X591" s="57"/>
      <c r="Y591" s="98"/>
      <c r="AA591" s="98"/>
      <c r="AR591" s="98"/>
      <c r="AS591" s="57"/>
      <c r="AU591" s="57"/>
      <c r="BF591" s="98"/>
      <c r="BG591" s="98"/>
      <c r="BH591" s="98"/>
      <c r="BI591" s="98"/>
      <c r="BJ591" s="98"/>
      <c r="BK591" s="98"/>
      <c r="BL591" s="98"/>
      <c r="BM591" s="57"/>
    </row>
    <row r="592" spans="1:65" ht="11.25" x14ac:dyDescent="0.2">
      <c r="A592" s="57"/>
      <c r="B592" s="57"/>
      <c r="C592" s="57"/>
      <c r="D592" s="57"/>
      <c r="E592" s="57"/>
      <c r="F592" s="57"/>
      <c r="G592" s="57"/>
      <c r="H592" s="57"/>
      <c r="I592" s="57"/>
      <c r="J592" s="57"/>
      <c r="L592" s="57"/>
      <c r="M592" s="57"/>
      <c r="N592" s="57"/>
      <c r="O592" s="57"/>
      <c r="P592" s="57"/>
      <c r="Q592" s="57"/>
      <c r="R592" s="57"/>
      <c r="S592" s="57"/>
      <c r="T592" s="57"/>
      <c r="U592" s="57"/>
      <c r="V592" s="57"/>
      <c r="W592" s="57"/>
      <c r="X592" s="57"/>
      <c r="Y592" s="98"/>
      <c r="AA592" s="98"/>
      <c r="AR592" s="98"/>
      <c r="AS592" s="57"/>
      <c r="AU592" s="57"/>
      <c r="BF592" s="98"/>
      <c r="BG592" s="98"/>
      <c r="BH592" s="98"/>
      <c r="BI592" s="98"/>
      <c r="BJ592" s="98"/>
      <c r="BK592" s="98"/>
      <c r="BL592" s="98"/>
      <c r="BM592" s="57"/>
    </row>
    <row r="593" spans="1:65" ht="11.25" x14ac:dyDescent="0.2">
      <c r="A593" s="57"/>
      <c r="B593" s="57"/>
      <c r="C593" s="57"/>
      <c r="D593" s="57"/>
      <c r="E593" s="57"/>
      <c r="F593" s="57"/>
      <c r="G593" s="57"/>
      <c r="H593" s="57"/>
      <c r="I593" s="57"/>
      <c r="J593" s="57"/>
      <c r="L593" s="57"/>
      <c r="M593" s="57"/>
      <c r="N593" s="57"/>
      <c r="O593" s="57"/>
      <c r="P593" s="57"/>
      <c r="Q593" s="57"/>
      <c r="R593" s="57"/>
      <c r="S593" s="57"/>
      <c r="T593" s="57"/>
      <c r="U593" s="57"/>
      <c r="V593" s="57"/>
      <c r="W593" s="57"/>
      <c r="X593" s="57"/>
      <c r="Y593" s="98"/>
      <c r="AA593" s="98"/>
      <c r="AR593" s="98"/>
      <c r="AS593" s="57"/>
      <c r="AU593" s="57"/>
      <c r="BF593" s="98"/>
      <c r="BG593" s="98"/>
      <c r="BH593" s="98"/>
      <c r="BI593" s="98"/>
      <c r="BJ593" s="98"/>
      <c r="BK593" s="98"/>
      <c r="BL593" s="98"/>
      <c r="BM593" s="57"/>
    </row>
    <row r="594" spans="1:65" ht="11.25" x14ac:dyDescent="0.2">
      <c r="A594" s="57"/>
      <c r="B594" s="57"/>
      <c r="C594" s="57"/>
      <c r="D594" s="57"/>
      <c r="E594" s="57"/>
      <c r="F594" s="57"/>
      <c r="G594" s="57"/>
      <c r="H594" s="57"/>
      <c r="I594" s="57"/>
      <c r="J594" s="57"/>
      <c r="L594" s="57"/>
      <c r="M594" s="57"/>
      <c r="N594" s="57"/>
      <c r="O594" s="57"/>
      <c r="P594" s="57"/>
      <c r="Q594" s="57"/>
      <c r="R594" s="57"/>
      <c r="S594" s="57"/>
      <c r="T594" s="57"/>
      <c r="U594" s="57"/>
      <c r="V594" s="57"/>
      <c r="W594" s="57"/>
      <c r="X594" s="57"/>
      <c r="Y594" s="98"/>
      <c r="AA594" s="98"/>
      <c r="AR594" s="98"/>
      <c r="AS594" s="57"/>
      <c r="AU594" s="57"/>
      <c r="BF594" s="98"/>
      <c r="BG594" s="98"/>
      <c r="BH594" s="98"/>
      <c r="BI594" s="98"/>
      <c r="BJ594" s="98"/>
      <c r="BK594" s="98"/>
      <c r="BL594" s="98"/>
      <c r="BM594" s="57"/>
    </row>
    <row r="595" spans="1:65" ht="11.25" x14ac:dyDescent="0.2">
      <c r="A595" s="57"/>
      <c r="B595" s="57"/>
      <c r="C595" s="57"/>
      <c r="D595" s="57"/>
      <c r="E595" s="57"/>
      <c r="F595" s="57"/>
      <c r="G595" s="57"/>
      <c r="H595" s="57"/>
      <c r="I595" s="57"/>
      <c r="J595" s="57"/>
      <c r="L595" s="57"/>
      <c r="M595" s="57"/>
      <c r="N595" s="57"/>
      <c r="O595" s="57"/>
      <c r="P595" s="57"/>
      <c r="Q595" s="57"/>
      <c r="R595" s="57"/>
      <c r="S595" s="57"/>
      <c r="T595" s="57"/>
      <c r="U595" s="57"/>
      <c r="V595" s="57"/>
      <c r="W595" s="57"/>
      <c r="X595" s="57"/>
      <c r="Y595" s="98"/>
      <c r="AA595" s="98"/>
      <c r="AR595" s="98"/>
      <c r="AS595" s="57"/>
      <c r="AU595" s="57"/>
      <c r="BF595" s="98"/>
      <c r="BG595" s="98"/>
      <c r="BH595" s="98"/>
      <c r="BI595" s="98"/>
      <c r="BJ595" s="98"/>
      <c r="BK595" s="98"/>
      <c r="BL595" s="98"/>
      <c r="BM595" s="57"/>
    </row>
    <row r="596" spans="1:65" ht="11.25" x14ac:dyDescent="0.2">
      <c r="A596" s="57"/>
      <c r="B596" s="57"/>
      <c r="C596" s="57"/>
      <c r="D596" s="57"/>
      <c r="E596" s="57"/>
      <c r="F596" s="57"/>
      <c r="G596" s="57"/>
      <c r="H596" s="57"/>
      <c r="I596" s="57"/>
      <c r="J596" s="57"/>
      <c r="L596" s="57"/>
      <c r="M596" s="57"/>
      <c r="N596" s="57"/>
      <c r="O596" s="57"/>
      <c r="P596" s="57"/>
      <c r="Q596" s="57"/>
      <c r="R596" s="57"/>
      <c r="S596" s="57"/>
      <c r="T596" s="57"/>
      <c r="U596" s="57"/>
      <c r="V596" s="57"/>
      <c r="W596" s="57"/>
      <c r="X596" s="57"/>
      <c r="Y596" s="98"/>
      <c r="AA596" s="98"/>
      <c r="AR596" s="98"/>
      <c r="AS596" s="57"/>
      <c r="AU596" s="57"/>
      <c r="BF596" s="98"/>
      <c r="BG596" s="98"/>
      <c r="BH596" s="98"/>
      <c r="BI596" s="98"/>
      <c r="BJ596" s="98"/>
      <c r="BK596" s="98"/>
      <c r="BL596" s="98"/>
      <c r="BM596" s="57"/>
    </row>
    <row r="597" spans="1:65" ht="11.25" x14ac:dyDescent="0.2">
      <c r="A597" s="57"/>
      <c r="B597" s="57"/>
      <c r="C597" s="57"/>
      <c r="D597" s="57"/>
      <c r="E597" s="57"/>
      <c r="F597" s="57"/>
      <c r="G597" s="57"/>
      <c r="H597" s="57"/>
      <c r="I597" s="57"/>
      <c r="J597" s="57"/>
      <c r="L597" s="57"/>
      <c r="M597" s="57"/>
      <c r="N597" s="57"/>
      <c r="O597" s="57"/>
      <c r="P597" s="57"/>
      <c r="Q597" s="57"/>
      <c r="R597" s="57"/>
      <c r="S597" s="57"/>
      <c r="T597" s="57"/>
      <c r="U597" s="57"/>
      <c r="V597" s="57"/>
      <c r="W597" s="57"/>
      <c r="X597" s="57"/>
      <c r="Y597" s="98"/>
      <c r="AA597" s="98"/>
      <c r="AR597" s="98"/>
      <c r="AS597" s="57"/>
      <c r="AU597" s="57"/>
      <c r="BF597" s="98"/>
      <c r="BG597" s="98"/>
      <c r="BH597" s="98"/>
      <c r="BI597" s="98"/>
      <c r="BJ597" s="98"/>
      <c r="BK597" s="98"/>
      <c r="BL597" s="98"/>
      <c r="BM597" s="57"/>
    </row>
    <row r="598" spans="1:65" ht="11.25" x14ac:dyDescent="0.2">
      <c r="A598" s="57"/>
      <c r="B598" s="57"/>
      <c r="C598" s="57"/>
      <c r="D598" s="57"/>
      <c r="E598" s="57"/>
      <c r="F598" s="57"/>
      <c r="G598" s="57"/>
      <c r="H598" s="57"/>
      <c r="I598" s="57"/>
      <c r="J598" s="57"/>
      <c r="L598" s="57"/>
      <c r="M598" s="57"/>
      <c r="N598" s="57"/>
      <c r="O598" s="57"/>
      <c r="P598" s="57"/>
      <c r="Q598" s="57"/>
      <c r="R598" s="57"/>
      <c r="S598" s="57"/>
      <c r="T598" s="57"/>
      <c r="U598" s="57"/>
      <c r="V598" s="57"/>
      <c r="W598" s="57"/>
      <c r="X598" s="57"/>
      <c r="Y598" s="98"/>
      <c r="AA598" s="98"/>
      <c r="AR598" s="98"/>
      <c r="AS598" s="57"/>
      <c r="AU598" s="57"/>
      <c r="BF598" s="98"/>
      <c r="BG598" s="98"/>
      <c r="BH598" s="98"/>
      <c r="BI598" s="98"/>
      <c r="BJ598" s="98"/>
      <c r="BK598" s="98"/>
      <c r="BL598" s="98"/>
      <c r="BM598" s="57"/>
    </row>
    <row r="599" spans="1:65" ht="11.25" x14ac:dyDescent="0.2">
      <c r="A599" s="57"/>
      <c r="B599" s="57"/>
      <c r="C599" s="57"/>
      <c r="D599" s="57"/>
      <c r="E599" s="57"/>
      <c r="F599" s="57"/>
      <c r="G599" s="57"/>
      <c r="H599" s="57"/>
      <c r="I599" s="57"/>
      <c r="J599" s="57"/>
      <c r="L599" s="57"/>
      <c r="M599" s="57"/>
      <c r="N599" s="57"/>
      <c r="O599" s="57"/>
      <c r="P599" s="57"/>
      <c r="Q599" s="57"/>
      <c r="R599" s="57"/>
      <c r="S599" s="57"/>
      <c r="T599" s="57"/>
      <c r="U599" s="57"/>
      <c r="V599" s="57"/>
      <c r="W599" s="57"/>
      <c r="X599" s="57"/>
      <c r="Y599" s="98"/>
      <c r="AA599" s="98"/>
      <c r="AR599" s="98"/>
      <c r="AS599" s="57"/>
      <c r="AU599" s="57"/>
      <c r="BF599" s="98"/>
      <c r="BG599" s="98"/>
      <c r="BH599" s="98"/>
      <c r="BI599" s="98"/>
      <c r="BJ599" s="98"/>
      <c r="BK599" s="98"/>
      <c r="BL599" s="98"/>
      <c r="BM599" s="57"/>
    </row>
    <row r="600" spans="1:65" ht="11.25" x14ac:dyDescent="0.2">
      <c r="A600" s="57"/>
      <c r="B600" s="57"/>
      <c r="C600" s="57"/>
      <c r="D600" s="57"/>
      <c r="E600" s="57"/>
      <c r="F600" s="57"/>
      <c r="G600" s="57"/>
      <c r="H600" s="57"/>
      <c r="I600" s="57"/>
      <c r="J600" s="57"/>
      <c r="L600" s="57"/>
      <c r="M600" s="57"/>
      <c r="N600" s="57"/>
      <c r="O600" s="57"/>
      <c r="P600" s="57"/>
      <c r="Q600" s="57"/>
      <c r="R600" s="57"/>
      <c r="S600" s="57"/>
      <c r="T600" s="57"/>
      <c r="U600" s="57"/>
      <c r="V600" s="57"/>
      <c r="W600" s="57"/>
      <c r="X600" s="57"/>
      <c r="Y600" s="98"/>
      <c r="AA600" s="98"/>
      <c r="AR600" s="98"/>
      <c r="AS600" s="57"/>
      <c r="AU600" s="57"/>
      <c r="BF600" s="98"/>
      <c r="BG600" s="98"/>
      <c r="BH600" s="98"/>
      <c r="BI600" s="98"/>
      <c r="BJ600" s="98"/>
      <c r="BK600" s="98"/>
      <c r="BL600" s="98"/>
      <c r="BM600" s="57"/>
    </row>
    <row r="601" spans="1:65" ht="11.25" x14ac:dyDescent="0.2">
      <c r="A601" s="57"/>
      <c r="B601" s="57"/>
      <c r="C601" s="57"/>
      <c r="D601" s="57"/>
      <c r="E601" s="57"/>
      <c r="F601" s="57"/>
      <c r="G601" s="57"/>
      <c r="H601" s="57"/>
      <c r="I601" s="57"/>
      <c r="J601" s="57"/>
      <c r="L601" s="57"/>
      <c r="M601" s="57"/>
      <c r="N601" s="57"/>
      <c r="O601" s="57"/>
      <c r="P601" s="57"/>
      <c r="Q601" s="57"/>
      <c r="R601" s="57"/>
      <c r="S601" s="57"/>
      <c r="T601" s="57"/>
      <c r="U601" s="57"/>
      <c r="V601" s="57"/>
      <c r="W601" s="57"/>
      <c r="X601" s="57"/>
      <c r="Y601" s="98"/>
      <c r="AA601" s="98"/>
      <c r="AR601" s="98"/>
      <c r="AS601" s="57"/>
      <c r="AU601" s="57"/>
      <c r="BF601" s="98"/>
      <c r="BG601" s="98"/>
      <c r="BH601" s="98"/>
      <c r="BI601" s="98"/>
      <c r="BJ601" s="98"/>
      <c r="BK601" s="98"/>
      <c r="BL601" s="98"/>
      <c r="BM601" s="57"/>
    </row>
    <row r="602" spans="1:65" ht="11.25" x14ac:dyDescent="0.2">
      <c r="A602" s="57"/>
      <c r="B602" s="57"/>
      <c r="C602" s="57"/>
      <c r="D602" s="57"/>
      <c r="E602" s="57"/>
      <c r="F602" s="57"/>
      <c r="G602" s="57"/>
      <c r="H602" s="57"/>
      <c r="I602" s="57"/>
      <c r="J602" s="57"/>
      <c r="L602" s="57"/>
      <c r="M602" s="57"/>
      <c r="N602" s="57"/>
      <c r="O602" s="57"/>
      <c r="P602" s="57"/>
      <c r="Q602" s="57"/>
      <c r="R602" s="57"/>
      <c r="S602" s="57"/>
      <c r="T602" s="57"/>
      <c r="U602" s="57"/>
      <c r="V602" s="57"/>
      <c r="W602" s="57"/>
      <c r="X602" s="57"/>
      <c r="Y602" s="98"/>
      <c r="AA602" s="98"/>
      <c r="AR602" s="98"/>
      <c r="AS602" s="57"/>
      <c r="AU602" s="57"/>
      <c r="BF602" s="98"/>
      <c r="BG602" s="98"/>
      <c r="BH602" s="98"/>
      <c r="BI602" s="98"/>
      <c r="BJ602" s="98"/>
      <c r="BK602" s="98"/>
      <c r="BL602" s="98"/>
      <c r="BM602" s="57"/>
    </row>
    <row r="603" spans="1:65" ht="11.25" x14ac:dyDescent="0.2">
      <c r="A603" s="57"/>
      <c r="B603" s="57"/>
      <c r="C603" s="57"/>
      <c r="D603" s="57"/>
      <c r="E603" s="57"/>
      <c r="F603" s="57"/>
      <c r="G603" s="57"/>
      <c r="H603" s="57"/>
      <c r="I603" s="57"/>
      <c r="J603" s="57"/>
      <c r="L603" s="57"/>
      <c r="M603" s="57"/>
      <c r="N603" s="57"/>
      <c r="O603" s="57"/>
      <c r="P603" s="57"/>
      <c r="Q603" s="57"/>
      <c r="R603" s="57"/>
      <c r="S603" s="57"/>
      <c r="T603" s="57"/>
      <c r="U603" s="57"/>
      <c r="V603" s="57"/>
      <c r="W603" s="57"/>
      <c r="X603" s="57"/>
      <c r="Y603" s="98"/>
      <c r="AA603" s="98"/>
      <c r="AR603" s="98"/>
      <c r="AS603" s="57"/>
      <c r="AU603" s="57"/>
      <c r="BF603" s="98"/>
      <c r="BG603" s="98"/>
      <c r="BH603" s="98"/>
      <c r="BI603" s="98"/>
      <c r="BJ603" s="98"/>
      <c r="BK603" s="98"/>
      <c r="BL603" s="98"/>
      <c r="BM603" s="57"/>
    </row>
    <row r="604" spans="1:65" ht="11.25" x14ac:dyDescent="0.2">
      <c r="A604" s="57"/>
      <c r="B604" s="57"/>
      <c r="C604" s="57"/>
      <c r="D604" s="57"/>
      <c r="E604" s="57"/>
      <c r="F604" s="57"/>
      <c r="G604" s="57"/>
      <c r="H604" s="57"/>
      <c r="I604" s="57"/>
      <c r="J604" s="57"/>
      <c r="L604" s="57"/>
      <c r="M604" s="57"/>
      <c r="N604" s="57"/>
      <c r="O604" s="57"/>
      <c r="P604" s="57"/>
      <c r="Q604" s="57"/>
      <c r="R604" s="57"/>
      <c r="S604" s="57"/>
      <c r="T604" s="57"/>
      <c r="U604" s="57"/>
      <c r="V604" s="57"/>
      <c r="W604" s="57"/>
      <c r="X604" s="57"/>
      <c r="Y604" s="98"/>
      <c r="AA604" s="98"/>
      <c r="AR604" s="98"/>
      <c r="AS604" s="57"/>
      <c r="AU604" s="57"/>
      <c r="BF604" s="98"/>
      <c r="BG604" s="98"/>
      <c r="BH604" s="98"/>
      <c r="BI604" s="98"/>
      <c r="BJ604" s="98"/>
      <c r="BK604" s="98"/>
      <c r="BL604" s="98"/>
      <c r="BM604" s="57"/>
    </row>
    <row r="605" spans="1:65" ht="11.25" x14ac:dyDescent="0.2">
      <c r="A605" s="57"/>
      <c r="B605" s="57"/>
      <c r="C605" s="57"/>
      <c r="D605" s="57"/>
      <c r="E605" s="57"/>
      <c r="F605" s="57"/>
      <c r="G605" s="57"/>
      <c r="H605" s="57"/>
      <c r="I605" s="57"/>
      <c r="J605" s="57"/>
      <c r="L605" s="57"/>
      <c r="M605" s="57"/>
      <c r="N605" s="57"/>
      <c r="O605" s="57"/>
      <c r="P605" s="57"/>
      <c r="Q605" s="57"/>
      <c r="R605" s="57"/>
      <c r="S605" s="57"/>
      <c r="T605" s="57"/>
      <c r="U605" s="57"/>
      <c r="V605" s="57"/>
      <c r="W605" s="57"/>
      <c r="X605" s="57"/>
      <c r="Y605" s="98"/>
      <c r="AA605" s="98"/>
      <c r="AR605" s="98"/>
      <c r="AS605" s="57"/>
      <c r="AU605" s="57"/>
      <c r="BF605" s="98"/>
      <c r="BG605" s="98"/>
      <c r="BH605" s="98"/>
      <c r="BI605" s="98"/>
      <c r="BJ605" s="98"/>
      <c r="BK605" s="98"/>
      <c r="BL605" s="98"/>
      <c r="BM605" s="57"/>
    </row>
    <row r="606" spans="1:65" ht="11.25" x14ac:dyDescent="0.2">
      <c r="A606" s="57"/>
      <c r="B606" s="57"/>
      <c r="C606" s="57"/>
      <c r="D606" s="57"/>
      <c r="E606" s="57"/>
      <c r="F606" s="57"/>
      <c r="G606" s="57"/>
      <c r="H606" s="57"/>
      <c r="I606" s="57"/>
      <c r="J606" s="57"/>
      <c r="L606" s="57"/>
      <c r="M606" s="57"/>
      <c r="N606" s="57"/>
      <c r="O606" s="57"/>
      <c r="P606" s="57"/>
      <c r="Q606" s="57"/>
      <c r="R606" s="57"/>
      <c r="S606" s="57"/>
      <c r="T606" s="57"/>
      <c r="U606" s="57"/>
      <c r="V606" s="57"/>
      <c r="W606" s="57"/>
      <c r="X606" s="57"/>
      <c r="Y606" s="98"/>
      <c r="AA606" s="98"/>
      <c r="AR606" s="98"/>
      <c r="AS606" s="57"/>
      <c r="AU606" s="57"/>
      <c r="BF606" s="98"/>
      <c r="BG606" s="98"/>
      <c r="BH606" s="98"/>
      <c r="BI606" s="98"/>
      <c r="BJ606" s="98"/>
      <c r="BK606" s="98"/>
      <c r="BL606" s="98"/>
      <c r="BM606" s="57"/>
    </row>
    <row r="607" spans="1:65" ht="11.25" x14ac:dyDescent="0.2">
      <c r="A607" s="57"/>
      <c r="B607" s="57"/>
      <c r="C607" s="57"/>
      <c r="D607" s="57"/>
      <c r="E607" s="57"/>
      <c r="F607" s="57"/>
      <c r="G607" s="57"/>
      <c r="H607" s="57"/>
      <c r="I607" s="57"/>
      <c r="J607" s="57"/>
      <c r="L607" s="57"/>
      <c r="M607" s="57"/>
      <c r="N607" s="57"/>
      <c r="O607" s="57"/>
      <c r="P607" s="57"/>
      <c r="Q607" s="57"/>
      <c r="R607" s="57"/>
      <c r="S607" s="57"/>
      <c r="T607" s="57"/>
      <c r="U607" s="57"/>
      <c r="V607" s="57"/>
      <c r="W607" s="57"/>
      <c r="X607" s="57"/>
      <c r="Y607" s="98"/>
      <c r="AA607" s="98"/>
      <c r="AR607" s="98"/>
      <c r="AS607" s="57"/>
      <c r="AU607" s="57"/>
      <c r="BF607" s="98"/>
      <c r="BG607" s="98"/>
      <c r="BH607" s="98"/>
      <c r="BI607" s="98"/>
      <c r="BJ607" s="98"/>
      <c r="BK607" s="98"/>
      <c r="BL607" s="98"/>
      <c r="BM607" s="57"/>
    </row>
    <row r="608" spans="1:65" ht="11.25" x14ac:dyDescent="0.2">
      <c r="A608" s="57"/>
      <c r="B608" s="57"/>
      <c r="C608" s="57"/>
      <c r="D608" s="57"/>
      <c r="E608" s="57"/>
      <c r="F608" s="57"/>
      <c r="G608" s="57"/>
      <c r="H608" s="57"/>
      <c r="I608" s="57"/>
      <c r="J608" s="57"/>
      <c r="L608" s="57"/>
      <c r="M608" s="57"/>
      <c r="N608" s="57"/>
      <c r="O608" s="57"/>
      <c r="P608" s="57"/>
      <c r="Q608" s="57"/>
      <c r="R608" s="57"/>
      <c r="S608" s="57"/>
      <c r="T608" s="57"/>
      <c r="U608" s="57"/>
      <c r="V608" s="57"/>
      <c r="W608" s="57"/>
      <c r="X608" s="57"/>
      <c r="Y608" s="98"/>
      <c r="AA608" s="98"/>
      <c r="AR608" s="98"/>
      <c r="AS608" s="57"/>
      <c r="AU608" s="57"/>
      <c r="BF608" s="98"/>
      <c r="BG608" s="98"/>
      <c r="BH608" s="98"/>
      <c r="BI608" s="98"/>
      <c r="BJ608" s="98"/>
      <c r="BK608" s="98"/>
      <c r="BL608" s="98"/>
      <c r="BM608" s="57"/>
    </row>
    <row r="609" spans="1:65" ht="11.25" x14ac:dyDescent="0.2">
      <c r="A609" s="57"/>
      <c r="B609" s="57"/>
      <c r="C609" s="57"/>
      <c r="D609" s="57"/>
      <c r="E609" s="57"/>
      <c r="F609" s="57"/>
      <c r="G609" s="57"/>
      <c r="H609" s="57"/>
      <c r="I609" s="57"/>
      <c r="J609" s="57"/>
      <c r="L609" s="57"/>
      <c r="M609" s="57"/>
      <c r="N609" s="57"/>
      <c r="O609" s="57"/>
      <c r="P609" s="57"/>
      <c r="Q609" s="57"/>
      <c r="R609" s="57"/>
      <c r="S609" s="57"/>
      <c r="T609" s="57"/>
      <c r="U609" s="57"/>
      <c r="V609" s="57"/>
      <c r="W609" s="57"/>
      <c r="X609" s="57"/>
      <c r="Y609" s="98"/>
      <c r="AA609" s="98"/>
      <c r="AR609" s="98"/>
      <c r="AS609" s="57"/>
      <c r="AU609" s="57"/>
      <c r="BF609" s="98"/>
      <c r="BG609" s="98"/>
      <c r="BH609" s="98"/>
      <c r="BI609" s="98"/>
      <c r="BJ609" s="98"/>
      <c r="BK609" s="98"/>
      <c r="BL609" s="98"/>
      <c r="BM609" s="57"/>
    </row>
    <row r="610" spans="1:65" ht="11.25" x14ac:dyDescent="0.2">
      <c r="A610" s="57"/>
      <c r="B610" s="57"/>
      <c r="C610" s="57"/>
      <c r="D610" s="57"/>
      <c r="E610" s="57"/>
      <c r="F610" s="57"/>
      <c r="G610" s="57"/>
      <c r="H610" s="57"/>
      <c r="I610" s="57"/>
      <c r="J610" s="57"/>
      <c r="L610" s="57"/>
      <c r="M610" s="57"/>
      <c r="N610" s="57"/>
      <c r="O610" s="57"/>
      <c r="P610" s="57"/>
      <c r="Q610" s="57"/>
      <c r="R610" s="57"/>
      <c r="S610" s="57"/>
      <c r="T610" s="57"/>
      <c r="U610" s="57"/>
      <c r="V610" s="57"/>
      <c r="W610" s="57"/>
      <c r="X610" s="57"/>
      <c r="Y610" s="98"/>
      <c r="AA610" s="98"/>
      <c r="AR610" s="98"/>
      <c r="AS610" s="57"/>
      <c r="AU610" s="57"/>
      <c r="BF610" s="98"/>
      <c r="BG610" s="98"/>
      <c r="BH610" s="98"/>
      <c r="BI610" s="98"/>
      <c r="BJ610" s="98"/>
      <c r="BK610" s="98"/>
      <c r="BL610" s="98"/>
      <c r="BM610" s="57"/>
    </row>
    <row r="611" spans="1:65" ht="11.25" x14ac:dyDescent="0.2">
      <c r="A611" s="57"/>
      <c r="B611" s="57"/>
      <c r="C611" s="57"/>
      <c r="D611" s="57"/>
      <c r="E611" s="57"/>
      <c r="F611" s="57"/>
      <c r="G611" s="57"/>
      <c r="H611" s="57"/>
      <c r="I611" s="57"/>
      <c r="J611" s="57"/>
      <c r="L611" s="57"/>
      <c r="M611" s="57"/>
      <c r="N611" s="57"/>
      <c r="O611" s="57"/>
      <c r="P611" s="57"/>
      <c r="Q611" s="57"/>
      <c r="R611" s="57"/>
      <c r="S611" s="57"/>
      <c r="T611" s="57"/>
      <c r="U611" s="57"/>
      <c r="V611" s="57"/>
      <c r="W611" s="57"/>
      <c r="X611" s="57"/>
      <c r="Y611" s="98"/>
      <c r="AA611" s="98"/>
      <c r="AR611" s="98"/>
      <c r="AS611" s="57"/>
      <c r="AU611" s="57"/>
      <c r="BF611" s="98"/>
      <c r="BG611" s="98"/>
      <c r="BH611" s="98"/>
      <c r="BI611" s="98"/>
      <c r="BJ611" s="98"/>
      <c r="BK611" s="98"/>
      <c r="BL611" s="98"/>
      <c r="BM611" s="57"/>
    </row>
    <row r="612" spans="1:65" ht="11.25" x14ac:dyDescent="0.2">
      <c r="A612" s="57"/>
      <c r="B612" s="57"/>
      <c r="C612" s="57"/>
      <c r="D612" s="57"/>
      <c r="E612" s="57"/>
      <c r="F612" s="57"/>
      <c r="G612" s="57"/>
      <c r="H612" s="57"/>
      <c r="I612" s="57"/>
      <c r="J612" s="57"/>
      <c r="L612" s="57"/>
      <c r="M612" s="57"/>
      <c r="N612" s="57"/>
      <c r="O612" s="57"/>
      <c r="P612" s="57"/>
      <c r="Q612" s="57"/>
      <c r="R612" s="57"/>
      <c r="S612" s="57"/>
      <c r="T612" s="57"/>
      <c r="U612" s="57"/>
      <c r="V612" s="57"/>
      <c r="W612" s="57"/>
      <c r="X612" s="57"/>
      <c r="Y612" s="98"/>
      <c r="AA612" s="98"/>
      <c r="AR612" s="98"/>
      <c r="AS612" s="57"/>
      <c r="AU612" s="57"/>
      <c r="BF612" s="98"/>
      <c r="BG612" s="98"/>
      <c r="BH612" s="98"/>
      <c r="BI612" s="98"/>
      <c r="BJ612" s="98"/>
      <c r="BK612" s="98"/>
      <c r="BL612" s="98"/>
      <c r="BM612" s="57"/>
    </row>
    <row r="613" spans="1:65" ht="11.25" x14ac:dyDescent="0.2">
      <c r="A613" s="57"/>
      <c r="B613" s="57"/>
      <c r="C613" s="57"/>
      <c r="D613" s="57"/>
      <c r="E613" s="57"/>
      <c r="F613" s="57"/>
      <c r="G613" s="57"/>
      <c r="H613" s="57"/>
      <c r="I613" s="57"/>
      <c r="J613" s="57"/>
      <c r="L613" s="57"/>
      <c r="M613" s="57"/>
      <c r="N613" s="57"/>
      <c r="O613" s="57"/>
      <c r="P613" s="57"/>
      <c r="Q613" s="57"/>
      <c r="R613" s="57"/>
      <c r="S613" s="57"/>
      <c r="T613" s="57"/>
      <c r="U613" s="57"/>
      <c r="V613" s="57"/>
      <c r="W613" s="57"/>
      <c r="X613" s="57"/>
      <c r="Y613" s="98"/>
      <c r="AA613" s="98"/>
      <c r="AR613" s="98"/>
      <c r="AS613" s="57"/>
      <c r="AU613" s="57"/>
      <c r="BF613" s="98"/>
      <c r="BG613" s="98"/>
      <c r="BH613" s="98"/>
      <c r="BI613" s="98"/>
      <c r="BJ613" s="98"/>
      <c r="BK613" s="98"/>
      <c r="BL613" s="98"/>
      <c r="BM613" s="57"/>
    </row>
    <row r="614" spans="1:65" ht="11.25" x14ac:dyDescent="0.2">
      <c r="A614" s="57"/>
      <c r="B614" s="57"/>
      <c r="C614" s="57"/>
      <c r="D614" s="57"/>
      <c r="E614" s="57"/>
      <c r="F614" s="57"/>
      <c r="G614" s="57"/>
      <c r="H614" s="57"/>
      <c r="I614" s="57"/>
      <c r="J614" s="57"/>
      <c r="L614" s="57"/>
      <c r="M614" s="57"/>
      <c r="N614" s="57"/>
      <c r="O614" s="57"/>
      <c r="P614" s="57"/>
      <c r="Q614" s="57"/>
      <c r="R614" s="57"/>
      <c r="S614" s="57"/>
      <c r="T614" s="57"/>
      <c r="U614" s="57"/>
      <c r="V614" s="57"/>
      <c r="W614" s="57"/>
      <c r="X614" s="57"/>
      <c r="Y614" s="98"/>
      <c r="AA614" s="98"/>
      <c r="AR614" s="98"/>
      <c r="AS614" s="57"/>
      <c r="AU614" s="57"/>
      <c r="BF614" s="98"/>
      <c r="BG614" s="98"/>
      <c r="BH614" s="98"/>
      <c r="BI614" s="98"/>
      <c r="BJ614" s="98"/>
      <c r="BK614" s="98"/>
      <c r="BL614" s="98"/>
      <c r="BM614" s="57"/>
    </row>
    <row r="615" spans="1:65" ht="11.25" x14ac:dyDescent="0.2">
      <c r="A615" s="57"/>
      <c r="B615" s="57"/>
      <c r="C615" s="57"/>
      <c r="D615" s="57"/>
      <c r="E615" s="57"/>
      <c r="F615" s="57"/>
      <c r="G615" s="57"/>
      <c r="H615" s="57"/>
      <c r="I615" s="57"/>
      <c r="J615" s="57"/>
      <c r="L615" s="57"/>
      <c r="M615" s="57"/>
      <c r="N615" s="57"/>
      <c r="O615" s="57"/>
      <c r="P615" s="57"/>
      <c r="Q615" s="57"/>
      <c r="R615" s="57"/>
      <c r="S615" s="57"/>
      <c r="T615" s="57"/>
      <c r="U615" s="57"/>
      <c r="V615" s="57"/>
      <c r="W615" s="57"/>
      <c r="X615" s="57"/>
      <c r="Y615" s="98"/>
      <c r="AA615" s="98"/>
      <c r="AR615" s="98"/>
      <c r="AS615" s="57"/>
      <c r="AU615" s="57"/>
      <c r="BF615" s="98"/>
      <c r="BG615" s="98"/>
      <c r="BH615" s="98"/>
      <c r="BI615" s="98"/>
      <c r="BJ615" s="98"/>
      <c r="BK615" s="98"/>
      <c r="BL615" s="98"/>
      <c r="BM615" s="57"/>
    </row>
    <row r="616" spans="1:65" ht="11.25" x14ac:dyDescent="0.2">
      <c r="A616" s="57"/>
      <c r="B616" s="57"/>
      <c r="C616" s="57"/>
      <c r="D616" s="57"/>
      <c r="E616" s="57"/>
      <c r="F616" s="57"/>
      <c r="G616" s="57"/>
      <c r="H616" s="57"/>
      <c r="I616" s="57"/>
      <c r="J616" s="57"/>
      <c r="L616" s="57"/>
      <c r="M616" s="57"/>
      <c r="N616" s="57"/>
      <c r="O616" s="57"/>
      <c r="P616" s="57"/>
      <c r="Q616" s="57"/>
      <c r="R616" s="57"/>
      <c r="S616" s="57"/>
      <c r="T616" s="57"/>
      <c r="U616" s="57"/>
      <c r="V616" s="57"/>
      <c r="W616" s="57"/>
      <c r="X616" s="57"/>
      <c r="Y616" s="98"/>
      <c r="AA616" s="98"/>
      <c r="AR616" s="98"/>
      <c r="AS616" s="57"/>
      <c r="AU616" s="57"/>
      <c r="BF616" s="98"/>
      <c r="BG616" s="98"/>
      <c r="BH616" s="98"/>
      <c r="BI616" s="98"/>
      <c r="BJ616" s="98"/>
      <c r="BK616" s="98"/>
      <c r="BL616" s="98"/>
      <c r="BM616" s="57"/>
    </row>
    <row r="617" spans="1:65" ht="11.25" x14ac:dyDescent="0.2">
      <c r="A617" s="57"/>
      <c r="B617" s="57"/>
      <c r="C617" s="57"/>
      <c r="D617" s="57"/>
      <c r="E617" s="57"/>
      <c r="F617" s="57"/>
      <c r="G617" s="57"/>
      <c r="H617" s="57"/>
      <c r="I617" s="57"/>
      <c r="J617" s="57"/>
      <c r="L617" s="57"/>
      <c r="M617" s="57"/>
      <c r="N617" s="57"/>
      <c r="O617" s="57"/>
      <c r="P617" s="57"/>
      <c r="Q617" s="57"/>
      <c r="R617" s="57"/>
      <c r="S617" s="57"/>
      <c r="T617" s="57"/>
      <c r="U617" s="57"/>
      <c r="V617" s="57"/>
      <c r="W617" s="57"/>
      <c r="X617" s="57"/>
      <c r="Y617" s="98"/>
      <c r="AA617" s="98"/>
      <c r="AR617" s="98"/>
      <c r="AS617" s="57"/>
      <c r="AU617" s="57"/>
      <c r="BF617" s="98"/>
      <c r="BG617" s="98"/>
      <c r="BH617" s="98"/>
      <c r="BI617" s="98"/>
      <c r="BJ617" s="98"/>
      <c r="BK617" s="98"/>
      <c r="BL617" s="98"/>
      <c r="BM617" s="57"/>
    </row>
    <row r="618" spans="1:65" ht="11.25" x14ac:dyDescent="0.2">
      <c r="A618" s="57"/>
      <c r="B618" s="57"/>
      <c r="C618" s="57"/>
      <c r="D618" s="57"/>
      <c r="E618" s="57"/>
      <c r="F618" s="57"/>
      <c r="G618" s="57"/>
      <c r="H618" s="57"/>
      <c r="I618" s="57"/>
      <c r="J618" s="57"/>
      <c r="L618" s="57"/>
      <c r="M618" s="57"/>
      <c r="N618" s="57"/>
      <c r="O618" s="57"/>
      <c r="P618" s="57"/>
      <c r="Q618" s="57"/>
      <c r="R618" s="57"/>
      <c r="S618" s="57"/>
      <c r="T618" s="57"/>
      <c r="U618" s="57"/>
      <c r="V618" s="57"/>
      <c r="W618" s="57"/>
      <c r="X618" s="57"/>
      <c r="Y618" s="98"/>
      <c r="AA618" s="98"/>
      <c r="AR618" s="98"/>
      <c r="AS618" s="57"/>
      <c r="AU618" s="57"/>
      <c r="BF618" s="98"/>
      <c r="BG618" s="98"/>
      <c r="BH618" s="98"/>
      <c r="BI618" s="98"/>
      <c r="BJ618" s="98"/>
      <c r="BK618" s="98"/>
      <c r="BL618" s="98"/>
      <c r="BM618" s="57"/>
    </row>
    <row r="619" spans="1:65" ht="11.25" x14ac:dyDescent="0.2">
      <c r="A619" s="57"/>
      <c r="B619" s="57"/>
      <c r="C619" s="57"/>
      <c r="D619" s="57"/>
      <c r="E619" s="57"/>
      <c r="F619" s="57"/>
      <c r="G619" s="57"/>
      <c r="H619" s="57"/>
      <c r="I619" s="57"/>
      <c r="J619" s="57"/>
      <c r="L619" s="57"/>
      <c r="M619" s="57"/>
      <c r="N619" s="57"/>
      <c r="O619" s="57"/>
      <c r="P619" s="57"/>
      <c r="Q619" s="57"/>
      <c r="R619" s="57"/>
      <c r="S619" s="57"/>
      <c r="T619" s="57"/>
      <c r="U619" s="57"/>
      <c r="V619" s="57"/>
      <c r="W619" s="57"/>
      <c r="X619" s="57"/>
      <c r="Y619" s="98"/>
      <c r="AA619" s="98"/>
      <c r="AR619" s="98"/>
      <c r="AS619" s="57"/>
      <c r="AU619" s="57"/>
      <c r="BF619" s="98"/>
      <c r="BG619" s="98"/>
      <c r="BH619" s="98"/>
      <c r="BI619" s="98"/>
      <c r="BJ619" s="98"/>
      <c r="BK619" s="98"/>
      <c r="BL619" s="98"/>
      <c r="BM619" s="57"/>
    </row>
    <row r="620" spans="1:65" ht="11.25" x14ac:dyDescent="0.2">
      <c r="A620" s="57"/>
      <c r="B620" s="57"/>
      <c r="C620" s="57"/>
      <c r="D620" s="57"/>
      <c r="E620" s="57"/>
      <c r="F620" s="57"/>
      <c r="G620" s="57"/>
      <c r="H620" s="57"/>
      <c r="I620" s="57"/>
      <c r="J620" s="57"/>
      <c r="L620" s="57"/>
      <c r="M620" s="57"/>
      <c r="N620" s="57"/>
      <c r="O620" s="57"/>
      <c r="P620" s="57"/>
      <c r="Q620" s="57"/>
      <c r="R620" s="57"/>
      <c r="S620" s="57"/>
      <c r="T620" s="57"/>
      <c r="U620" s="57"/>
      <c r="V620" s="57"/>
      <c r="W620" s="57"/>
      <c r="X620" s="57"/>
      <c r="Y620" s="98"/>
      <c r="AA620" s="98"/>
      <c r="AR620" s="98"/>
      <c r="AS620" s="57"/>
      <c r="AU620" s="57"/>
      <c r="BF620" s="98"/>
      <c r="BG620" s="98"/>
      <c r="BH620" s="98"/>
      <c r="BI620" s="98"/>
      <c r="BJ620" s="98"/>
      <c r="BK620" s="98"/>
      <c r="BL620" s="98"/>
      <c r="BM620" s="57"/>
    </row>
    <row r="621" spans="1:65" ht="11.25" x14ac:dyDescent="0.2">
      <c r="A621" s="57"/>
      <c r="B621" s="57"/>
      <c r="C621" s="57"/>
      <c r="D621" s="57"/>
      <c r="E621" s="57"/>
      <c r="F621" s="57"/>
      <c r="G621" s="57"/>
      <c r="H621" s="57"/>
      <c r="I621" s="57"/>
      <c r="J621" s="57"/>
      <c r="L621" s="57"/>
      <c r="M621" s="57"/>
      <c r="N621" s="57"/>
      <c r="O621" s="57"/>
      <c r="P621" s="57"/>
      <c r="Q621" s="57"/>
      <c r="R621" s="57"/>
      <c r="S621" s="57"/>
      <c r="T621" s="57"/>
      <c r="U621" s="57"/>
      <c r="V621" s="57"/>
      <c r="W621" s="57"/>
      <c r="X621" s="57"/>
      <c r="Y621" s="98"/>
      <c r="AA621" s="98"/>
      <c r="AR621" s="98"/>
      <c r="AS621" s="57"/>
      <c r="AU621" s="57"/>
      <c r="BF621" s="98"/>
      <c r="BG621" s="98"/>
      <c r="BH621" s="98"/>
      <c r="BI621" s="98"/>
      <c r="BJ621" s="98"/>
      <c r="BK621" s="98"/>
      <c r="BL621" s="98"/>
      <c r="BM621" s="57"/>
    </row>
    <row r="622" spans="1:65" ht="11.25" x14ac:dyDescent="0.2">
      <c r="A622" s="57"/>
      <c r="B622" s="57"/>
      <c r="C622" s="57"/>
      <c r="D622" s="57"/>
      <c r="E622" s="57"/>
      <c r="F622" s="57"/>
      <c r="G622" s="57"/>
      <c r="H622" s="57"/>
      <c r="I622" s="57"/>
      <c r="J622" s="57"/>
      <c r="L622" s="57"/>
      <c r="M622" s="57"/>
      <c r="N622" s="57"/>
      <c r="O622" s="57"/>
      <c r="P622" s="57"/>
      <c r="Q622" s="57"/>
      <c r="R622" s="57"/>
      <c r="S622" s="57"/>
      <c r="T622" s="57"/>
      <c r="U622" s="57"/>
      <c r="V622" s="57"/>
      <c r="W622" s="57"/>
      <c r="X622" s="57"/>
      <c r="Y622" s="98"/>
      <c r="AA622" s="98"/>
      <c r="AR622" s="98"/>
      <c r="AS622" s="57"/>
      <c r="AU622" s="57"/>
      <c r="BF622" s="98"/>
      <c r="BG622" s="98"/>
      <c r="BH622" s="98"/>
      <c r="BI622" s="98"/>
      <c r="BJ622" s="98"/>
      <c r="BK622" s="98"/>
      <c r="BL622" s="98"/>
      <c r="BM622" s="57"/>
    </row>
    <row r="623" spans="1:65" ht="11.25" x14ac:dyDescent="0.2">
      <c r="A623" s="57"/>
      <c r="B623" s="57"/>
      <c r="C623" s="57"/>
      <c r="D623" s="57"/>
      <c r="E623" s="57"/>
      <c r="F623" s="57"/>
      <c r="G623" s="57"/>
      <c r="H623" s="57"/>
      <c r="I623" s="57"/>
      <c r="J623" s="57"/>
      <c r="L623" s="57"/>
      <c r="M623" s="57"/>
      <c r="N623" s="57"/>
      <c r="O623" s="57"/>
      <c r="P623" s="57"/>
      <c r="Q623" s="57"/>
      <c r="R623" s="57"/>
      <c r="S623" s="57"/>
      <c r="T623" s="57"/>
      <c r="U623" s="57"/>
      <c r="V623" s="57"/>
      <c r="W623" s="57"/>
      <c r="X623" s="57"/>
      <c r="Y623" s="98"/>
      <c r="AA623" s="98"/>
      <c r="AR623" s="98"/>
      <c r="AS623" s="57"/>
      <c r="AU623" s="57"/>
      <c r="BF623" s="98"/>
      <c r="BG623" s="98"/>
      <c r="BH623" s="98"/>
      <c r="BI623" s="98"/>
      <c r="BJ623" s="98"/>
      <c r="BK623" s="98"/>
      <c r="BL623" s="98"/>
      <c r="BM623" s="57"/>
    </row>
    <row r="624" spans="1:65" ht="11.25" x14ac:dyDescent="0.2">
      <c r="A624" s="57"/>
      <c r="B624" s="57"/>
      <c r="C624" s="57"/>
      <c r="D624" s="57"/>
      <c r="E624" s="57"/>
      <c r="F624" s="57"/>
      <c r="G624" s="57"/>
      <c r="H624" s="57"/>
      <c r="I624" s="57"/>
      <c r="J624" s="57"/>
      <c r="L624" s="57"/>
      <c r="M624" s="57"/>
      <c r="N624" s="57"/>
      <c r="O624" s="57"/>
      <c r="P624" s="57"/>
      <c r="Q624" s="57"/>
      <c r="R624" s="57"/>
      <c r="S624" s="57"/>
      <c r="T624" s="57"/>
      <c r="U624" s="57"/>
      <c r="V624" s="57"/>
      <c r="W624" s="57"/>
      <c r="X624" s="57"/>
      <c r="Y624" s="98"/>
      <c r="AA624" s="98"/>
      <c r="AR624" s="98"/>
      <c r="AS624" s="57"/>
      <c r="AU624" s="57"/>
      <c r="BF624" s="98"/>
      <c r="BG624" s="98"/>
      <c r="BH624" s="98"/>
      <c r="BI624" s="98"/>
      <c r="BJ624" s="98"/>
      <c r="BK624" s="98"/>
      <c r="BL624" s="98"/>
      <c r="BM624" s="57"/>
    </row>
    <row r="625" spans="1:65" ht="11.25" x14ac:dyDescent="0.2">
      <c r="A625" s="57"/>
      <c r="B625" s="57"/>
      <c r="C625" s="57"/>
      <c r="D625" s="57"/>
      <c r="E625" s="57"/>
      <c r="F625" s="57"/>
      <c r="G625" s="57"/>
      <c r="H625" s="57"/>
      <c r="I625" s="57"/>
      <c r="J625" s="57"/>
      <c r="L625" s="57"/>
      <c r="M625" s="57"/>
      <c r="N625" s="57"/>
      <c r="O625" s="57"/>
      <c r="P625" s="57"/>
      <c r="Q625" s="57"/>
      <c r="R625" s="57"/>
      <c r="S625" s="57"/>
      <c r="T625" s="57"/>
      <c r="U625" s="57"/>
      <c r="V625" s="57"/>
      <c r="W625" s="57"/>
      <c r="X625" s="57"/>
      <c r="Y625" s="98"/>
      <c r="AA625" s="98"/>
      <c r="AR625" s="98"/>
      <c r="AS625" s="57"/>
      <c r="AU625" s="57"/>
      <c r="BF625" s="98"/>
      <c r="BG625" s="98"/>
      <c r="BH625" s="98"/>
      <c r="BI625" s="98"/>
      <c r="BJ625" s="98"/>
      <c r="BK625" s="98"/>
      <c r="BL625" s="98"/>
      <c r="BM625" s="57"/>
    </row>
    <row r="626" spans="1:65" ht="11.25" x14ac:dyDescent="0.2">
      <c r="A626" s="57"/>
      <c r="B626" s="57"/>
      <c r="C626" s="57"/>
      <c r="D626" s="57"/>
      <c r="E626" s="57"/>
      <c r="F626" s="57"/>
      <c r="G626" s="57"/>
      <c r="H626" s="57"/>
      <c r="I626" s="57"/>
      <c r="J626" s="57"/>
      <c r="L626" s="57"/>
      <c r="M626" s="57"/>
      <c r="N626" s="57"/>
      <c r="O626" s="57"/>
      <c r="P626" s="57"/>
      <c r="Q626" s="57"/>
      <c r="R626" s="57"/>
      <c r="S626" s="57"/>
      <c r="T626" s="57"/>
      <c r="U626" s="57"/>
      <c r="V626" s="57"/>
      <c r="W626" s="57"/>
      <c r="X626" s="57"/>
      <c r="Y626" s="98"/>
      <c r="AA626" s="98"/>
      <c r="AR626" s="98"/>
      <c r="AS626" s="57"/>
      <c r="AU626" s="57"/>
      <c r="BF626" s="98"/>
      <c r="BG626" s="98"/>
      <c r="BH626" s="98"/>
      <c r="BI626" s="98"/>
      <c r="BJ626" s="98"/>
      <c r="BK626" s="98"/>
      <c r="BL626" s="98"/>
      <c r="BM626" s="57"/>
    </row>
    <row r="627" spans="1:65" ht="11.25" x14ac:dyDescent="0.2">
      <c r="A627" s="57"/>
      <c r="B627" s="57"/>
      <c r="C627" s="57"/>
      <c r="D627" s="57"/>
      <c r="E627" s="57"/>
      <c r="F627" s="57"/>
      <c r="G627" s="57"/>
      <c r="H627" s="57"/>
      <c r="I627" s="57"/>
      <c r="J627" s="57"/>
      <c r="L627" s="57"/>
      <c r="M627" s="57"/>
      <c r="N627" s="57"/>
      <c r="O627" s="57"/>
      <c r="P627" s="57"/>
      <c r="Q627" s="57"/>
      <c r="R627" s="57"/>
      <c r="S627" s="57"/>
      <c r="T627" s="57"/>
      <c r="U627" s="57"/>
      <c r="V627" s="57"/>
      <c r="W627" s="57"/>
      <c r="X627" s="57"/>
      <c r="Y627" s="98"/>
      <c r="AA627" s="98"/>
      <c r="AR627" s="98"/>
      <c r="AS627" s="57"/>
      <c r="AU627" s="57"/>
      <c r="BF627" s="98"/>
      <c r="BG627" s="98"/>
      <c r="BH627" s="98"/>
      <c r="BI627" s="98"/>
      <c r="BJ627" s="98"/>
      <c r="BK627" s="98"/>
      <c r="BL627" s="98"/>
      <c r="BM627" s="57"/>
    </row>
    <row r="628" spans="1:65" ht="11.25" x14ac:dyDescent="0.2">
      <c r="A628" s="57"/>
      <c r="B628" s="57"/>
      <c r="C628" s="57"/>
      <c r="D628" s="57"/>
      <c r="E628" s="57"/>
      <c r="F628" s="57"/>
      <c r="G628" s="57"/>
      <c r="H628" s="57"/>
      <c r="I628" s="57"/>
      <c r="J628" s="57"/>
      <c r="L628" s="57"/>
      <c r="M628" s="57"/>
      <c r="N628" s="57"/>
      <c r="O628" s="57"/>
      <c r="P628" s="57"/>
      <c r="Q628" s="57"/>
      <c r="R628" s="57"/>
      <c r="S628" s="57"/>
      <c r="T628" s="57"/>
      <c r="U628" s="57"/>
      <c r="V628" s="57"/>
      <c r="W628" s="57"/>
      <c r="X628" s="57"/>
      <c r="Y628" s="98"/>
      <c r="AA628" s="98"/>
      <c r="AR628" s="98"/>
      <c r="AS628" s="57"/>
      <c r="AU628" s="57"/>
      <c r="BF628" s="98"/>
      <c r="BG628" s="98"/>
      <c r="BH628" s="98"/>
      <c r="BI628" s="98"/>
      <c r="BJ628" s="98"/>
      <c r="BK628" s="98"/>
      <c r="BL628" s="98"/>
      <c r="BM628" s="57"/>
    </row>
    <row r="629" spans="1:65" ht="11.25" x14ac:dyDescent="0.2">
      <c r="A629" s="57"/>
      <c r="B629" s="57"/>
      <c r="C629" s="57"/>
      <c r="D629" s="57"/>
      <c r="E629" s="57"/>
      <c r="F629" s="57"/>
      <c r="G629" s="57"/>
      <c r="H629" s="57"/>
      <c r="I629" s="57"/>
      <c r="J629" s="57"/>
      <c r="L629" s="57"/>
      <c r="M629" s="57"/>
      <c r="N629" s="57"/>
      <c r="O629" s="57"/>
      <c r="P629" s="57"/>
      <c r="Q629" s="57"/>
      <c r="R629" s="57"/>
      <c r="S629" s="57"/>
      <c r="T629" s="57"/>
      <c r="U629" s="57"/>
      <c r="V629" s="57"/>
      <c r="W629" s="57"/>
      <c r="X629" s="57"/>
      <c r="Y629" s="98"/>
      <c r="AA629" s="98"/>
      <c r="AR629" s="98"/>
      <c r="AS629" s="57"/>
      <c r="AU629" s="57"/>
      <c r="BF629" s="98"/>
      <c r="BG629" s="98"/>
      <c r="BH629" s="98"/>
      <c r="BI629" s="98"/>
      <c r="BJ629" s="98"/>
      <c r="BK629" s="98"/>
      <c r="BL629" s="98"/>
      <c r="BM629" s="57"/>
    </row>
    <row r="630" spans="1:65" ht="11.25" x14ac:dyDescent="0.2">
      <c r="A630" s="57"/>
      <c r="B630" s="57"/>
      <c r="C630" s="57"/>
      <c r="D630" s="57"/>
      <c r="E630" s="57"/>
      <c r="F630" s="57"/>
      <c r="G630" s="57"/>
      <c r="H630" s="57"/>
      <c r="I630" s="57"/>
      <c r="J630" s="57"/>
      <c r="L630" s="57"/>
      <c r="M630" s="57"/>
      <c r="N630" s="57"/>
      <c r="O630" s="57"/>
      <c r="P630" s="57"/>
      <c r="Q630" s="57"/>
      <c r="R630" s="57"/>
      <c r="S630" s="57"/>
      <c r="T630" s="57"/>
      <c r="U630" s="57"/>
      <c r="V630" s="57"/>
      <c r="W630" s="57"/>
      <c r="X630" s="57"/>
      <c r="Y630" s="98"/>
      <c r="AA630" s="98"/>
      <c r="AR630" s="98"/>
      <c r="AS630" s="57"/>
      <c r="AU630" s="57"/>
      <c r="BF630" s="98"/>
      <c r="BG630" s="98"/>
      <c r="BH630" s="98"/>
      <c r="BI630" s="98"/>
      <c r="BJ630" s="98"/>
      <c r="BK630" s="98"/>
      <c r="BL630" s="98"/>
      <c r="BM630" s="57"/>
    </row>
    <row r="631" spans="1:65" ht="11.25" x14ac:dyDescent="0.2">
      <c r="A631" s="57"/>
      <c r="B631" s="57"/>
      <c r="C631" s="57"/>
      <c r="D631" s="57"/>
      <c r="E631" s="57"/>
      <c r="F631" s="57"/>
      <c r="G631" s="57"/>
      <c r="H631" s="57"/>
      <c r="I631" s="57"/>
      <c r="J631" s="57"/>
      <c r="L631" s="57"/>
      <c r="M631" s="57"/>
      <c r="N631" s="57"/>
      <c r="O631" s="57"/>
      <c r="P631" s="57"/>
      <c r="Q631" s="57"/>
      <c r="R631" s="57"/>
      <c r="S631" s="57"/>
      <c r="T631" s="57"/>
      <c r="U631" s="57"/>
      <c r="V631" s="57"/>
      <c r="W631" s="57"/>
      <c r="X631" s="57"/>
      <c r="Y631" s="98"/>
      <c r="AA631" s="98"/>
      <c r="AR631" s="98"/>
      <c r="AS631" s="57"/>
      <c r="AU631" s="57"/>
      <c r="BF631" s="98"/>
      <c r="BG631" s="98"/>
      <c r="BH631" s="98"/>
      <c r="BI631" s="98"/>
      <c r="BJ631" s="98"/>
      <c r="BK631" s="98"/>
      <c r="BL631" s="98"/>
      <c r="BM631" s="57"/>
    </row>
    <row r="632" spans="1:65" ht="11.25" x14ac:dyDescent="0.2">
      <c r="A632" s="57"/>
      <c r="B632" s="57"/>
      <c r="C632" s="57"/>
      <c r="D632" s="57"/>
      <c r="E632" s="57"/>
      <c r="F632" s="57"/>
      <c r="G632" s="57"/>
      <c r="H632" s="57"/>
      <c r="I632" s="57"/>
      <c r="J632" s="57"/>
      <c r="L632" s="57"/>
      <c r="M632" s="57"/>
      <c r="N632" s="57"/>
      <c r="O632" s="57"/>
      <c r="P632" s="57"/>
      <c r="Q632" s="57"/>
      <c r="R632" s="57"/>
      <c r="S632" s="57"/>
      <c r="T632" s="57"/>
      <c r="U632" s="57"/>
      <c r="V632" s="57"/>
      <c r="W632" s="57"/>
      <c r="X632" s="57"/>
      <c r="Y632" s="98"/>
      <c r="AA632" s="98"/>
      <c r="AR632" s="98"/>
      <c r="AS632" s="57"/>
      <c r="AU632" s="57"/>
      <c r="BF632" s="98"/>
      <c r="BG632" s="98"/>
      <c r="BH632" s="98"/>
      <c r="BI632" s="98"/>
      <c r="BJ632" s="98"/>
      <c r="BK632" s="98"/>
      <c r="BL632" s="98"/>
      <c r="BM632" s="57"/>
    </row>
    <row r="633" spans="1:65" ht="11.25" x14ac:dyDescent="0.2">
      <c r="A633" s="57"/>
      <c r="B633" s="57"/>
      <c r="C633" s="57"/>
      <c r="D633" s="57"/>
      <c r="E633" s="57"/>
      <c r="F633" s="57"/>
      <c r="G633" s="57"/>
      <c r="H633" s="57"/>
      <c r="I633" s="57"/>
      <c r="J633" s="57"/>
      <c r="L633" s="57"/>
      <c r="M633" s="57"/>
      <c r="N633" s="57"/>
      <c r="O633" s="57"/>
      <c r="P633" s="57"/>
      <c r="Q633" s="57"/>
      <c r="R633" s="57"/>
      <c r="S633" s="57"/>
      <c r="T633" s="57"/>
      <c r="U633" s="57"/>
      <c r="V633" s="57"/>
      <c r="W633" s="57"/>
      <c r="X633" s="57"/>
      <c r="Y633" s="98"/>
      <c r="AA633" s="98"/>
      <c r="AR633" s="98"/>
      <c r="AS633" s="57"/>
      <c r="AU633" s="57"/>
      <c r="BF633" s="98"/>
      <c r="BG633" s="98"/>
      <c r="BH633" s="98"/>
      <c r="BI633" s="98"/>
      <c r="BJ633" s="98"/>
      <c r="BK633" s="98"/>
      <c r="BL633" s="98"/>
      <c r="BM633" s="57"/>
    </row>
    <row r="634" spans="1:65" ht="11.25" x14ac:dyDescent="0.2">
      <c r="A634" s="57"/>
      <c r="B634" s="57"/>
      <c r="C634" s="57"/>
      <c r="D634" s="57"/>
      <c r="E634" s="57"/>
      <c r="F634" s="57"/>
      <c r="G634" s="57"/>
      <c r="H634" s="57"/>
      <c r="I634" s="57"/>
      <c r="J634" s="57"/>
      <c r="L634" s="57"/>
      <c r="M634" s="57"/>
      <c r="N634" s="57"/>
      <c r="O634" s="57"/>
      <c r="P634" s="57"/>
      <c r="Q634" s="57"/>
      <c r="R634" s="57"/>
      <c r="S634" s="57"/>
      <c r="T634" s="57"/>
      <c r="U634" s="57"/>
      <c r="V634" s="57"/>
      <c r="W634" s="57"/>
      <c r="X634" s="57"/>
      <c r="Y634" s="98"/>
      <c r="AA634" s="98"/>
      <c r="AR634" s="98"/>
      <c r="AS634" s="57"/>
      <c r="AU634" s="57"/>
      <c r="BF634" s="98"/>
      <c r="BG634" s="98"/>
      <c r="BH634" s="98"/>
      <c r="BI634" s="98"/>
      <c r="BJ634" s="98"/>
      <c r="BK634" s="98"/>
      <c r="BL634" s="98"/>
      <c r="BM634" s="57"/>
    </row>
    <row r="635" spans="1:65" ht="11.25" x14ac:dyDescent="0.2">
      <c r="A635" s="57"/>
      <c r="B635" s="57"/>
      <c r="C635" s="57"/>
      <c r="D635" s="57"/>
      <c r="E635" s="57"/>
      <c r="F635" s="57"/>
      <c r="G635" s="57"/>
      <c r="H635" s="57"/>
      <c r="I635" s="57"/>
      <c r="J635" s="57"/>
      <c r="L635" s="57"/>
      <c r="M635" s="57"/>
      <c r="N635" s="57"/>
      <c r="O635" s="57"/>
      <c r="P635" s="57"/>
      <c r="Q635" s="57"/>
      <c r="R635" s="57"/>
      <c r="S635" s="57"/>
      <c r="T635" s="57"/>
      <c r="U635" s="57"/>
      <c r="V635" s="57"/>
      <c r="W635" s="57"/>
      <c r="X635" s="57"/>
      <c r="Y635" s="98"/>
      <c r="AA635" s="98"/>
      <c r="AR635" s="98"/>
      <c r="AS635" s="57"/>
      <c r="AU635" s="57"/>
      <c r="BF635" s="98"/>
      <c r="BG635" s="98"/>
      <c r="BH635" s="98"/>
      <c r="BI635" s="98"/>
      <c r="BJ635" s="98"/>
      <c r="BK635" s="98"/>
      <c r="BL635" s="98"/>
      <c r="BM635" s="57"/>
    </row>
    <row r="636" spans="1:65" ht="11.25" x14ac:dyDescent="0.2">
      <c r="A636" s="57"/>
      <c r="B636" s="57"/>
      <c r="C636" s="57"/>
      <c r="D636" s="57"/>
      <c r="E636" s="57"/>
      <c r="F636" s="57"/>
      <c r="G636" s="57"/>
      <c r="H636" s="57"/>
      <c r="I636" s="57"/>
      <c r="J636" s="57"/>
      <c r="L636" s="57"/>
      <c r="M636" s="57"/>
      <c r="N636" s="57"/>
      <c r="O636" s="57"/>
      <c r="P636" s="57"/>
      <c r="Q636" s="57"/>
      <c r="R636" s="57"/>
      <c r="S636" s="57"/>
      <c r="T636" s="57"/>
      <c r="U636" s="57"/>
      <c r="V636" s="57"/>
      <c r="W636" s="57"/>
      <c r="X636" s="57"/>
      <c r="Y636" s="98"/>
      <c r="AA636" s="98"/>
      <c r="AR636" s="98"/>
      <c r="AS636" s="57"/>
      <c r="AU636" s="57"/>
      <c r="BF636" s="98"/>
      <c r="BG636" s="98"/>
      <c r="BH636" s="98"/>
      <c r="BI636" s="98"/>
      <c r="BJ636" s="98"/>
      <c r="BK636" s="98"/>
      <c r="BL636" s="98"/>
      <c r="BM636" s="57"/>
    </row>
    <row r="637" spans="1:65" ht="11.25" x14ac:dyDescent="0.2">
      <c r="A637" s="57"/>
      <c r="B637" s="57"/>
      <c r="C637" s="57"/>
      <c r="D637" s="57"/>
      <c r="E637" s="57"/>
      <c r="F637" s="57"/>
      <c r="G637" s="57"/>
      <c r="H637" s="57"/>
      <c r="I637" s="57"/>
      <c r="J637" s="57"/>
      <c r="L637" s="57"/>
      <c r="M637" s="57"/>
      <c r="N637" s="57"/>
      <c r="O637" s="57"/>
      <c r="P637" s="57"/>
      <c r="Q637" s="57"/>
      <c r="R637" s="57"/>
      <c r="S637" s="57"/>
      <c r="T637" s="57"/>
      <c r="U637" s="57"/>
      <c r="V637" s="57"/>
      <c r="W637" s="57"/>
      <c r="X637" s="57"/>
      <c r="Y637" s="98"/>
      <c r="AA637" s="98"/>
      <c r="AR637" s="98"/>
      <c r="AS637" s="57"/>
      <c r="AU637" s="57"/>
      <c r="BF637" s="98"/>
      <c r="BG637" s="98"/>
      <c r="BH637" s="98"/>
      <c r="BI637" s="98"/>
      <c r="BJ637" s="98"/>
      <c r="BK637" s="98"/>
      <c r="BL637" s="98"/>
      <c r="BM637" s="57"/>
    </row>
    <row r="638" spans="1:65" ht="11.25" x14ac:dyDescent="0.2">
      <c r="A638" s="57"/>
      <c r="B638" s="57"/>
      <c r="C638" s="57"/>
      <c r="D638" s="57"/>
      <c r="E638" s="57"/>
      <c r="F638" s="57"/>
      <c r="G638" s="57"/>
      <c r="H638" s="57"/>
      <c r="I638" s="57"/>
      <c r="J638" s="57"/>
      <c r="L638" s="57"/>
      <c r="M638" s="57"/>
      <c r="N638" s="57"/>
      <c r="O638" s="57"/>
      <c r="P638" s="57"/>
      <c r="Q638" s="57"/>
      <c r="R638" s="57"/>
      <c r="S638" s="57"/>
      <c r="T638" s="57"/>
      <c r="U638" s="57"/>
      <c r="V638" s="57"/>
      <c r="W638" s="57"/>
      <c r="X638" s="57"/>
      <c r="Y638" s="98"/>
      <c r="AA638" s="98"/>
      <c r="AR638" s="98"/>
      <c r="AS638" s="57"/>
      <c r="AU638" s="57"/>
      <c r="BF638" s="98"/>
      <c r="BG638" s="98"/>
      <c r="BH638" s="98"/>
      <c r="BI638" s="98"/>
      <c r="BJ638" s="98"/>
      <c r="BK638" s="98"/>
      <c r="BL638" s="98"/>
      <c r="BM638" s="57"/>
    </row>
    <row r="639" spans="1:65" ht="11.25" x14ac:dyDescent="0.2">
      <c r="A639" s="57"/>
      <c r="B639" s="57"/>
      <c r="C639" s="57"/>
      <c r="D639" s="57"/>
      <c r="E639" s="57"/>
      <c r="F639" s="57"/>
      <c r="G639" s="57"/>
      <c r="H639" s="57"/>
      <c r="I639" s="57"/>
      <c r="J639" s="57"/>
      <c r="L639" s="57"/>
      <c r="M639" s="57"/>
      <c r="N639" s="57"/>
      <c r="O639" s="57"/>
      <c r="P639" s="57"/>
      <c r="Q639" s="57"/>
      <c r="R639" s="57"/>
      <c r="S639" s="57"/>
      <c r="T639" s="57"/>
      <c r="U639" s="57"/>
      <c r="V639" s="57"/>
      <c r="W639" s="57"/>
      <c r="X639" s="57"/>
      <c r="Y639" s="98"/>
      <c r="AA639" s="98"/>
      <c r="AR639" s="98"/>
      <c r="AS639" s="57"/>
      <c r="AU639" s="57"/>
      <c r="BF639" s="98"/>
      <c r="BG639" s="98"/>
      <c r="BH639" s="98"/>
      <c r="BI639" s="98"/>
      <c r="BJ639" s="98"/>
      <c r="BK639" s="98"/>
      <c r="BL639" s="98"/>
      <c r="BM639" s="57"/>
    </row>
    <row r="640" spans="1:65" ht="11.25" x14ac:dyDescent="0.2">
      <c r="A640" s="57"/>
      <c r="B640" s="57"/>
      <c r="C640" s="57"/>
      <c r="D640" s="57"/>
      <c r="E640" s="57"/>
      <c r="F640" s="57"/>
      <c r="G640" s="57"/>
      <c r="H640" s="57"/>
      <c r="I640" s="57"/>
      <c r="J640" s="57"/>
      <c r="L640" s="57"/>
      <c r="M640" s="57"/>
      <c r="N640" s="57"/>
      <c r="O640" s="57"/>
      <c r="P640" s="57"/>
      <c r="Q640" s="57"/>
      <c r="R640" s="57"/>
      <c r="S640" s="57"/>
      <c r="T640" s="57"/>
      <c r="U640" s="57"/>
      <c r="V640" s="57"/>
      <c r="W640" s="57"/>
      <c r="X640" s="57"/>
      <c r="Y640" s="98"/>
      <c r="AA640" s="98"/>
      <c r="AR640" s="98"/>
      <c r="AS640" s="57"/>
      <c r="AU640" s="57"/>
      <c r="BF640" s="98"/>
      <c r="BG640" s="98"/>
      <c r="BH640" s="98"/>
      <c r="BI640" s="98"/>
      <c r="BJ640" s="98"/>
      <c r="BK640" s="98"/>
      <c r="BL640" s="98"/>
      <c r="BM640" s="57"/>
    </row>
    <row r="641" spans="1:65" ht="11.25" x14ac:dyDescent="0.2">
      <c r="A641" s="57"/>
      <c r="B641" s="57"/>
      <c r="C641" s="57"/>
      <c r="D641" s="57"/>
      <c r="E641" s="57"/>
      <c r="F641" s="57"/>
      <c r="G641" s="57"/>
      <c r="H641" s="57"/>
      <c r="I641" s="57"/>
      <c r="J641" s="57"/>
      <c r="L641" s="57"/>
      <c r="M641" s="57"/>
      <c r="N641" s="57"/>
      <c r="O641" s="57"/>
      <c r="P641" s="57"/>
      <c r="Q641" s="57"/>
      <c r="R641" s="57"/>
      <c r="S641" s="57"/>
      <c r="T641" s="57"/>
      <c r="U641" s="57"/>
      <c r="V641" s="57"/>
      <c r="W641" s="57"/>
      <c r="X641" s="57"/>
      <c r="Y641" s="98"/>
      <c r="AA641" s="98"/>
      <c r="AR641" s="98"/>
      <c r="AS641" s="57"/>
      <c r="AU641" s="57"/>
      <c r="BF641" s="98"/>
      <c r="BG641" s="98"/>
      <c r="BH641" s="98"/>
      <c r="BI641" s="98"/>
      <c r="BJ641" s="98"/>
      <c r="BK641" s="98"/>
      <c r="BL641" s="98"/>
      <c r="BM641" s="57"/>
    </row>
    <row r="642" spans="1:65" ht="11.25" x14ac:dyDescent="0.2">
      <c r="A642" s="57"/>
      <c r="B642" s="57"/>
      <c r="C642" s="57"/>
      <c r="D642" s="57"/>
      <c r="E642" s="57"/>
      <c r="F642" s="57"/>
      <c r="G642" s="57"/>
      <c r="H642" s="57"/>
      <c r="I642" s="57"/>
      <c r="J642" s="57"/>
      <c r="L642" s="57"/>
      <c r="M642" s="57"/>
      <c r="N642" s="57"/>
      <c r="O642" s="57"/>
      <c r="P642" s="57"/>
      <c r="Q642" s="57"/>
      <c r="R642" s="57"/>
      <c r="S642" s="57"/>
      <c r="T642" s="57"/>
      <c r="U642" s="57"/>
      <c r="V642" s="57"/>
      <c r="W642" s="57"/>
      <c r="X642" s="57"/>
      <c r="Y642" s="98"/>
      <c r="AA642" s="98"/>
      <c r="AR642" s="98"/>
      <c r="AS642" s="57"/>
      <c r="AU642" s="57"/>
      <c r="BF642" s="98"/>
      <c r="BG642" s="98"/>
      <c r="BH642" s="98"/>
      <c r="BI642" s="98"/>
      <c r="BJ642" s="98"/>
      <c r="BK642" s="98"/>
      <c r="BL642" s="98"/>
      <c r="BM642" s="57"/>
    </row>
    <row r="643" spans="1:65" ht="11.25" x14ac:dyDescent="0.2">
      <c r="A643" s="57"/>
      <c r="B643" s="57"/>
      <c r="C643" s="57"/>
      <c r="D643" s="57"/>
      <c r="E643" s="57"/>
      <c r="F643" s="57"/>
      <c r="G643" s="57"/>
      <c r="H643" s="57"/>
      <c r="I643" s="57"/>
      <c r="J643" s="57"/>
      <c r="L643" s="57"/>
      <c r="M643" s="57"/>
      <c r="N643" s="57"/>
      <c r="O643" s="57"/>
      <c r="P643" s="57"/>
      <c r="Q643" s="57"/>
      <c r="R643" s="57"/>
      <c r="S643" s="57"/>
      <c r="T643" s="57"/>
      <c r="U643" s="57"/>
      <c r="V643" s="57"/>
      <c r="W643" s="57"/>
      <c r="X643" s="57"/>
      <c r="Y643" s="98"/>
      <c r="AA643" s="98"/>
      <c r="AR643" s="98"/>
      <c r="AS643" s="57"/>
      <c r="AU643" s="57"/>
      <c r="BF643" s="98"/>
      <c r="BG643" s="98"/>
      <c r="BH643" s="98"/>
      <c r="BI643" s="98"/>
      <c r="BJ643" s="98"/>
      <c r="BK643" s="98"/>
      <c r="BL643" s="98"/>
      <c r="BM643" s="57"/>
    </row>
    <row r="644" spans="1:65" ht="11.25" x14ac:dyDescent="0.2">
      <c r="A644" s="57"/>
      <c r="B644" s="57"/>
      <c r="C644" s="57"/>
      <c r="D644" s="57"/>
      <c r="E644" s="57"/>
      <c r="F644" s="57"/>
      <c r="G644" s="57"/>
      <c r="H644" s="57"/>
      <c r="I644" s="57"/>
      <c r="J644" s="57"/>
      <c r="L644" s="57"/>
      <c r="M644" s="57"/>
      <c r="N644" s="57"/>
      <c r="O644" s="57"/>
      <c r="P644" s="57"/>
      <c r="Q644" s="57"/>
      <c r="R644" s="57"/>
      <c r="S644" s="57"/>
      <c r="T644" s="57"/>
      <c r="U644" s="57"/>
      <c r="V644" s="57"/>
      <c r="W644" s="57"/>
      <c r="X644" s="57"/>
      <c r="Y644" s="98"/>
      <c r="AA644" s="98"/>
      <c r="AR644" s="98"/>
      <c r="AS644" s="57"/>
      <c r="AU644" s="57"/>
      <c r="BF644" s="98"/>
      <c r="BG644" s="98"/>
      <c r="BH644" s="98"/>
      <c r="BI644" s="98"/>
      <c r="BJ644" s="98"/>
      <c r="BK644" s="98"/>
      <c r="BL644" s="98"/>
      <c r="BM644" s="57"/>
    </row>
    <row r="645" spans="1:65" ht="11.25" x14ac:dyDescent="0.2">
      <c r="A645" s="57"/>
      <c r="B645" s="57"/>
      <c r="C645" s="57"/>
      <c r="D645" s="57"/>
      <c r="E645" s="57"/>
      <c r="F645" s="57"/>
      <c r="G645" s="57"/>
      <c r="H645" s="57"/>
      <c r="I645" s="57"/>
      <c r="J645" s="57"/>
      <c r="L645" s="57"/>
      <c r="M645" s="57"/>
      <c r="N645" s="57"/>
      <c r="O645" s="57"/>
      <c r="P645" s="57"/>
      <c r="Q645" s="57"/>
      <c r="R645" s="57"/>
      <c r="S645" s="57"/>
      <c r="T645" s="57"/>
      <c r="U645" s="57"/>
      <c r="V645" s="57"/>
      <c r="W645" s="57"/>
      <c r="X645" s="57"/>
      <c r="Y645" s="98"/>
      <c r="AA645" s="98"/>
      <c r="AR645" s="98"/>
      <c r="AS645" s="57"/>
      <c r="AU645" s="57"/>
      <c r="BF645" s="98"/>
      <c r="BG645" s="98"/>
      <c r="BH645" s="98"/>
      <c r="BI645" s="98"/>
      <c r="BJ645" s="98"/>
      <c r="BK645" s="98"/>
      <c r="BL645" s="98"/>
      <c r="BM645" s="57"/>
    </row>
    <row r="646" spans="1:65" ht="11.25" x14ac:dyDescent="0.2">
      <c r="A646" s="57"/>
      <c r="B646" s="57"/>
      <c r="C646" s="57"/>
      <c r="D646" s="57"/>
      <c r="E646" s="57"/>
      <c r="F646" s="57"/>
      <c r="G646" s="57"/>
      <c r="H646" s="57"/>
      <c r="I646" s="57"/>
      <c r="J646" s="57"/>
      <c r="L646" s="57"/>
      <c r="M646" s="57"/>
      <c r="N646" s="57"/>
      <c r="O646" s="57"/>
      <c r="P646" s="57"/>
      <c r="Q646" s="57"/>
      <c r="R646" s="57"/>
      <c r="S646" s="57"/>
      <c r="T646" s="57"/>
      <c r="U646" s="57"/>
      <c r="V646" s="57"/>
      <c r="W646" s="57"/>
      <c r="X646" s="57"/>
      <c r="Y646" s="98"/>
      <c r="AA646" s="98"/>
      <c r="AR646" s="98"/>
      <c r="AS646" s="57"/>
      <c r="AU646" s="57"/>
      <c r="BF646" s="98"/>
      <c r="BG646" s="98"/>
      <c r="BH646" s="98"/>
      <c r="BI646" s="98"/>
      <c r="BJ646" s="98"/>
      <c r="BK646" s="98"/>
      <c r="BL646" s="98"/>
      <c r="BM646" s="57"/>
    </row>
    <row r="647" spans="1:65" ht="11.25" x14ac:dyDescent="0.2">
      <c r="A647" s="57"/>
      <c r="B647" s="57"/>
      <c r="C647" s="57"/>
      <c r="D647" s="57"/>
      <c r="E647" s="57"/>
      <c r="F647" s="57"/>
      <c r="G647" s="57"/>
      <c r="H647" s="57"/>
      <c r="I647" s="57"/>
      <c r="J647" s="57"/>
      <c r="L647" s="57"/>
      <c r="M647" s="57"/>
      <c r="N647" s="57"/>
      <c r="O647" s="57"/>
      <c r="P647" s="57"/>
      <c r="Q647" s="57"/>
      <c r="R647" s="57"/>
      <c r="S647" s="57"/>
      <c r="T647" s="57"/>
      <c r="U647" s="57"/>
      <c r="V647" s="57"/>
      <c r="W647" s="57"/>
      <c r="X647" s="57"/>
      <c r="Y647" s="98"/>
      <c r="AA647" s="98"/>
      <c r="AR647" s="98"/>
      <c r="AS647" s="57"/>
      <c r="AU647" s="57"/>
      <c r="BF647" s="98"/>
      <c r="BG647" s="98"/>
      <c r="BH647" s="98"/>
      <c r="BI647" s="98"/>
      <c r="BJ647" s="98"/>
      <c r="BK647" s="98"/>
      <c r="BL647" s="98"/>
      <c r="BM647" s="57"/>
    </row>
    <row r="648" spans="1:65" ht="11.25" x14ac:dyDescent="0.2">
      <c r="A648" s="57"/>
      <c r="B648" s="57"/>
      <c r="C648" s="57"/>
      <c r="D648" s="57"/>
      <c r="E648" s="57"/>
      <c r="F648" s="57"/>
      <c r="G648" s="57"/>
      <c r="H648" s="57"/>
      <c r="I648" s="57"/>
      <c r="J648" s="57"/>
      <c r="L648" s="57"/>
      <c r="M648" s="57"/>
      <c r="N648" s="57"/>
      <c r="O648" s="57"/>
      <c r="P648" s="57"/>
      <c r="Q648" s="57"/>
      <c r="R648" s="57"/>
      <c r="S648" s="57"/>
      <c r="T648" s="57"/>
      <c r="U648" s="57"/>
      <c r="V648" s="57"/>
      <c r="W648" s="57"/>
      <c r="X648" s="57"/>
      <c r="Y648" s="98"/>
      <c r="AA648" s="98"/>
      <c r="AR648" s="98"/>
      <c r="AS648" s="57"/>
      <c r="AU648" s="57"/>
      <c r="BF648" s="98"/>
      <c r="BG648" s="98"/>
      <c r="BH648" s="98"/>
      <c r="BI648" s="98"/>
      <c r="BJ648" s="98"/>
      <c r="BK648" s="98"/>
      <c r="BL648" s="98"/>
      <c r="BM648" s="57"/>
    </row>
    <row r="649" spans="1:65" ht="11.25" x14ac:dyDescent="0.2">
      <c r="A649" s="57"/>
      <c r="B649" s="57"/>
      <c r="C649" s="57"/>
      <c r="D649" s="57"/>
      <c r="E649" s="57"/>
      <c r="F649" s="57"/>
      <c r="G649" s="57"/>
      <c r="H649" s="57"/>
      <c r="I649" s="57"/>
      <c r="J649" s="57"/>
      <c r="L649" s="57"/>
      <c r="M649" s="57"/>
      <c r="N649" s="57"/>
      <c r="O649" s="57"/>
      <c r="P649" s="57"/>
      <c r="Q649" s="57"/>
      <c r="R649" s="57"/>
      <c r="S649" s="57"/>
      <c r="T649" s="57"/>
      <c r="U649" s="57"/>
      <c r="V649" s="57"/>
      <c r="W649" s="57"/>
      <c r="X649" s="57"/>
      <c r="Y649" s="98"/>
      <c r="AA649" s="98"/>
      <c r="AR649" s="98"/>
      <c r="AS649" s="57"/>
      <c r="AU649" s="57"/>
      <c r="BF649" s="98"/>
      <c r="BG649" s="98"/>
      <c r="BH649" s="98"/>
      <c r="BI649" s="98"/>
      <c r="BJ649" s="98"/>
      <c r="BK649" s="98"/>
      <c r="BL649" s="98"/>
      <c r="BM649" s="57"/>
    </row>
    <row r="650" spans="1:65" ht="11.25" x14ac:dyDescent="0.2">
      <c r="A650" s="57"/>
      <c r="B650" s="57"/>
      <c r="C650" s="57"/>
      <c r="D650" s="57"/>
      <c r="E650" s="57"/>
      <c r="F650" s="57"/>
      <c r="G650" s="57"/>
      <c r="H650" s="57"/>
      <c r="I650" s="57"/>
      <c r="J650" s="57"/>
      <c r="L650" s="57"/>
      <c r="M650" s="57"/>
      <c r="N650" s="57"/>
      <c r="O650" s="57"/>
      <c r="P650" s="57"/>
      <c r="Q650" s="57"/>
      <c r="R650" s="57"/>
      <c r="S650" s="57"/>
      <c r="T650" s="57"/>
      <c r="U650" s="57"/>
      <c r="V650" s="57"/>
      <c r="W650" s="57"/>
      <c r="X650" s="57"/>
      <c r="Y650" s="98"/>
      <c r="AA650" s="98"/>
      <c r="AR650" s="98"/>
      <c r="AS650" s="57"/>
      <c r="AU650" s="57"/>
      <c r="BF650" s="98"/>
      <c r="BG650" s="98"/>
      <c r="BH650" s="98"/>
      <c r="BI650" s="98"/>
      <c r="BJ650" s="98"/>
      <c r="BK650" s="98"/>
      <c r="BL650" s="98"/>
      <c r="BM650" s="57"/>
    </row>
    <row r="651" spans="1:65" ht="11.25" x14ac:dyDescent="0.2">
      <c r="A651" s="57"/>
      <c r="B651" s="57"/>
      <c r="C651" s="57"/>
      <c r="D651" s="57"/>
      <c r="E651" s="57"/>
      <c r="F651" s="57"/>
      <c r="G651" s="57"/>
      <c r="H651" s="57"/>
      <c r="I651" s="57"/>
      <c r="J651" s="57"/>
      <c r="L651" s="57"/>
      <c r="M651" s="57"/>
      <c r="N651" s="57"/>
      <c r="O651" s="57"/>
      <c r="P651" s="57"/>
      <c r="Q651" s="57"/>
      <c r="R651" s="57"/>
      <c r="S651" s="57"/>
      <c r="T651" s="57"/>
      <c r="U651" s="57"/>
      <c r="V651" s="57"/>
      <c r="W651" s="57"/>
      <c r="X651" s="57"/>
      <c r="Y651" s="98"/>
      <c r="AA651" s="98"/>
      <c r="AR651" s="98"/>
      <c r="AS651" s="57"/>
      <c r="AU651" s="57"/>
      <c r="BF651" s="98"/>
      <c r="BG651" s="98"/>
      <c r="BH651" s="98"/>
      <c r="BI651" s="98"/>
      <c r="BJ651" s="98"/>
      <c r="BK651" s="98"/>
      <c r="BL651" s="98"/>
      <c r="BM651" s="57"/>
    </row>
    <row r="652" spans="1:65" ht="11.25" x14ac:dyDescent="0.2">
      <c r="A652" s="57"/>
      <c r="B652" s="57"/>
      <c r="C652" s="57"/>
      <c r="D652" s="57"/>
      <c r="E652" s="57"/>
      <c r="F652" s="57"/>
      <c r="G652" s="57"/>
      <c r="H652" s="57"/>
      <c r="I652" s="57"/>
      <c r="J652" s="57"/>
      <c r="L652" s="57"/>
      <c r="M652" s="57"/>
      <c r="N652" s="57"/>
      <c r="O652" s="57"/>
      <c r="P652" s="57"/>
      <c r="Q652" s="57"/>
      <c r="R652" s="57"/>
      <c r="S652" s="57"/>
      <c r="T652" s="57"/>
      <c r="U652" s="57"/>
      <c r="V652" s="57"/>
      <c r="W652" s="57"/>
      <c r="X652" s="57"/>
      <c r="Y652" s="98"/>
      <c r="AA652" s="98"/>
      <c r="AR652" s="98"/>
      <c r="AS652" s="57"/>
      <c r="AU652" s="57"/>
      <c r="BF652" s="98"/>
      <c r="BG652" s="98"/>
      <c r="BH652" s="98"/>
      <c r="BI652" s="98"/>
      <c r="BJ652" s="98"/>
      <c r="BK652" s="98"/>
      <c r="BL652" s="98"/>
      <c r="BM652" s="57"/>
    </row>
    <row r="653" spans="1:65" ht="11.25" x14ac:dyDescent="0.2">
      <c r="A653" s="57"/>
      <c r="B653" s="57"/>
      <c r="C653" s="57"/>
      <c r="D653" s="57"/>
      <c r="E653" s="57"/>
      <c r="F653" s="57"/>
      <c r="G653" s="57"/>
      <c r="H653" s="57"/>
      <c r="I653" s="57"/>
      <c r="J653" s="57"/>
      <c r="L653" s="57"/>
      <c r="M653" s="57"/>
      <c r="N653" s="57"/>
      <c r="O653" s="57"/>
      <c r="P653" s="57"/>
      <c r="Q653" s="57"/>
      <c r="R653" s="57"/>
      <c r="S653" s="57"/>
      <c r="T653" s="57"/>
      <c r="U653" s="57"/>
      <c r="V653" s="57"/>
      <c r="W653" s="57"/>
      <c r="X653" s="57"/>
      <c r="Y653" s="98"/>
      <c r="AA653" s="98"/>
      <c r="AR653" s="98"/>
      <c r="AS653" s="57"/>
      <c r="AU653" s="57"/>
      <c r="BF653" s="98"/>
      <c r="BG653" s="98"/>
      <c r="BH653" s="98"/>
      <c r="BI653" s="98"/>
      <c r="BJ653" s="98"/>
      <c r="BK653" s="98"/>
      <c r="BL653" s="98"/>
      <c r="BM653" s="57"/>
    </row>
    <row r="654" spans="1:65" ht="11.25" x14ac:dyDescent="0.2">
      <c r="A654" s="57"/>
      <c r="B654" s="57"/>
      <c r="C654" s="57"/>
      <c r="D654" s="57"/>
      <c r="E654" s="57"/>
      <c r="F654" s="57"/>
      <c r="G654" s="57"/>
      <c r="H654" s="57"/>
      <c r="I654" s="57"/>
      <c r="J654" s="57"/>
      <c r="L654" s="57"/>
      <c r="M654" s="57"/>
      <c r="N654" s="57"/>
      <c r="O654" s="57"/>
      <c r="P654" s="57"/>
      <c r="Q654" s="57"/>
      <c r="R654" s="57"/>
      <c r="S654" s="57"/>
      <c r="T654" s="57"/>
      <c r="U654" s="57"/>
      <c r="V654" s="57"/>
      <c r="W654" s="57"/>
      <c r="X654" s="57"/>
      <c r="Y654" s="98"/>
      <c r="AA654" s="98"/>
      <c r="AR654" s="98"/>
      <c r="AS654" s="57"/>
      <c r="AU654" s="57"/>
      <c r="BF654" s="98"/>
      <c r="BG654" s="98"/>
      <c r="BH654" s="98"/>
      <c r="BI654" s="98"/>
      <c r="BJ654" s="98"/>
      <c r="BK654" s="98"/>
      <c r="BL654" s="98"/>
      <c r="BM654" s="57"/>
    </row>
    <row r="655" spans="1:65" ht="11.25" x14ac:dyDescent="0.2">
      <c r="A655" s="57"/>
      <c r="B655" s="57"/>
      <c r="C655" s="57"/>
      <c r="D655" s="57"/>
      <c r="E655" s="57"/>
      <c r="F655" s="57"/>
      <c r="G655" s="57"/>
      <c r="H655" s="57"/>
      <c r="I655" s="57"/>
      <c r="J655" s="57"/>
      <c r="L655" s="57"/>
      <c r="M655" s="57"/>
      <c r="N655" s="57"/>
      <c r="O655" s="57"/>
      <c r="P655" s="57"/>
      <c r="Q655" s="57"/>
      <c r="R655" s="57"/>
      <c r="S655" s="57"/>
      <c r="T655" s="57"/>
      <c r="U655" s="57"/>
      <c r="V655" s="57"/>
      <c r="W655" s="57"/>
      <c r="X655" s="57"/>
      <c r="Y655" s="98"/>
      <c r="AA655" s="98"/>
      <c r="AR655" s="98"/>
      <c r="AS655" s="57"/>
      <c r="AU655" s="57"/>
      <c r="BF655" s="98"/>
      <c r="BG655" s="98"/>
      <c r="BH655" s="98"/>
      <c r="BI655" s="98"/>
      <c r="BJ655" s="98"/>
      <c r="BK655" s="98"/>
      <c r="BL655" s="98"/>
      <c r="BM655" s="57"/>
    </row>
    <row r="656" spans="1:65" ht="11.25" x14ac:dyDescent="0.2">
      <c r="A656" s="57"/>
      <c r="B656" s="57"/>
      <c r="C656" s="57"/>
      <c r="D656" s="57"/>
      <c r="E656" s="57"/>
      <c r="F656" s="57"/>
      <c r="G656" s="57"/>
      <c r="H656" s="57"/>
      <c r="I656" s="57"/>
      <c r="J656" s="57"/>
      <c r="L656" s="57"/>
      <c r="M656" s="57"/>
      <c r="N656" s="57"/>
      <c r="O656" s="57"/>
      <c r="P656" s="57"/>
      <c r="Q656" s="57"/>
      <c r="R656" s="57"/>
      <c r="S656" s="57"/>
      <c r="T656" s="57"/>
      <c r="U656" s="57"/>
      <c r="V656" s="57"/>
      <c r="W656" s="57"/>
      <c r="X656" s="57"/>
      <c r="Y656" s="98"/>
      <c r="AA656" s="98"/>
      <c r="AR656" s="98"/>
      <c r="AS656" s="57"/>
      <c r="AU656" s="57"/>
      <c r="BF656" s="98"/>
      <c r="BG656" s="98"/>
      <c r="BH656" s="98"/>
      <c r="BI656" s="98"/>
      <c r="BJ656" s="98"/>
      <c r="BK656" s="98"/>
      <c r="BL656" s="98"/>
      <c r="BM656" s="57"/>
    </row>
    <row r="657" spans="1:65" ht="11.25" x14ac:dyDescent="0.2">
      <c r="A657" s="57"/>
      <c r="B657" s="57"/>
      <c r="C657" s="57"/>
      <c r="D657" s="57"/>
      <c r="E657" s="57"/>
      <c r="F657" s="57"/>
      <c r="G657" s="57"/>
      <c r="H657" s="57"/>
      <c r="I657" s="57"/>
      <c r="J657" s="57"/>
      <c r="L657" s="57"/>
      <c r="M657" s="57"/>
      <c r="N657" s="57"/>
      <c r="O657" s="57"/>
      <c r="P657" s="57"/>
      <c r="Q657" s="57"/>
      <c r="R657" s="57"/>
      <c r="S657" s="57"/>
      <c r="T657" s="57"/>
      <c r="U657" s="57"/>
      <c r="V657" s="57"/>
      <c r="W657" s="57"/>
      <c r="X657" s="57"/>
      <c r="Y657" s="98"/>
      <c r="AA657" s="98"/>
      <c r="AR657" s="98"/>
      <c r="AS657" s="57"/>
      <c r="AU657" s="57"/>
      <c r="BF657" s="98"/>
      <c r="BG657" s="98"/>
      <c r="BH657" s="98"/>
      <c r="BI657" s="98"/>
      <c r="BJ657" s="98"/>
      <c r="BK657" s="98"/>
      <c r="BL657" s="98"/>
      <c r="BM657" s="57"/>
    </row>
    <row r="658" spans="1:65" ht="11.25" x14ac:dyDescent="0.2">
      <c r="A658" s="57"/>
      <c r="B658" s="57"/>
      <c r="C658" s="57"/>
      <c r="D658" s="57"/>
      <c r="E658" s="57"/>
      <c r="F658" s="57"/>
      <c r="G658" s="57"/>
      <c r="H658" s="57"/>
      <c r="I658" s="57"/>
      <c r="J658" s="57"/>
      <c r="L658" s="57"/>
      <c r="M658" s="57"/>
      <c r="N658" s="57"/>
      <c r="O658" s="57"/>
      <c r="P658" s="57"/>
      <c r="Q658" s="57"/>
      <c r="R658" s="57"/>
      <c r="S658" s="57"/>
      <c r="T658" s="57"/>
      <c r="U658" s="57"/>
      <c r="V658" s="57"/>
      <c r="W658" s="57"/>
      <c r="X658" s="57"/>
      <c r="Y658" s="98"/>
      <c r="AA658" s="98"/>
      <c r="AR658" s="98"/>
      <c r="AS658" s="57"/>
      <c r="AU658" s="57"/>
      <c r="BF658" s="98"/>
      <c r="BG658" s="98"/>
      <c r="BH658" s="98"/>
      <c r="BI658" s="98"/>
      <c r="BJ658" s="98"/>
      <c r="BK658" s="98"/>
      <c r="BL658" s="98"/>
      <c r="BM658" s="57"/>
    </row>
    <row r="659" spans="1:65" ht="11.25" x14ac:dyDescent="0.2">
      <c r="A659" s="57"/>
      <c r="B659" s="57"/>
      <c r="C659" s="57"/>
      <c r="D659" s="57"/>
      <c r="E659" s="57"/>
      <c r="F659" s="57"/>
      <c r="G659" s="57"/>
      <c r="H659" s="57"/>
      <c r="I659" s="57"/>
      <c r="J659" s="57"/>
      <c r="L659" s="57"/>
      <c r="M659" s="57"/>
      <c r="N659" s="57"/>
      <c r="O659" s="57"/>
      <c r="P659" s="57"/>
      <c r="Q659" s="57"/>
      <c r="R659" s="57"/>
      <c r="S659" s="57"/>
      <c r="T659" s="57"/>
      <c r="U659" s="57"/>
      <c r="V659" s="57"/>
      <c r="W659" s="57"/>
      <c r="X659" s="57"/>
      <c r="Y659" s="98"/>
      <c r="AA659" s="98"/>
      <c r="AR659" s="98"/>
      <c r="AS659" s="57"/>
      <c r="AU659" s="57"/>
      <c r="BF659" s="98"/>
      <c r="BG659" s="98"/>
      <c r="BH659" s="98"/>
      <c r="BI659" s="98"/>
      <c r="BJ659" s="98"/>
      <c r="BK659" s="98"/>
      <c r="BL659" s="98"/>
      <c r="BM659" s="57"/>
    </row>
    <row r="660" spans="1:65" ht="11.25" x14ac:dyDescent="0.2">
      <c r="A660" s="57"/>
      <c r="B660" s="57"/>
      <c r="C660" s="57"/>
      <c r="D660" s="57"/>
      <c r="E660" s="57"/>
      <c r="F660" s="57"/>
      <c r="G660" s="57"/>
      <c r="H660" s="57"/>
      <c r="I660" s="57"/>
      <c r="J660" s="57"/>
      <c r="L660" s="57"/>
      <c r="M660" s="57"/>
      <c r="N660" s="57"/>
      <c r="O660" s="57"/>
      <c r="P660" s="57"/>
      <c r="Q660" s="57"/>
      <c r="R660" s="57"/>
      <c r="S660" s="57"/>
      <c r="T660" s="57"/>
      <c r="U660" s="57"/>
      <c r="V660" s="57"/>
      <c r="W660" s="57"/>
      <c r="X660" s="57"/>
      <c r="Y660" s="98"/>
      <c r="AA660" s="98"/>
      <c r="AR660" s="98"/>
      <c r="AS660" s="57"/>
      <c r="AU660" s="57"/>
      <c r="BF660" s="98"/>
      <c r="BG660" s="98"/>
      <c r="BH660" s="98"/>
      <c r="BI660" s="98"/>
      <c r="BJ660" s="98"/>
      <c r="BK660" s="98"/>
      <c r="BL660" s="98"/>
      <c r="BM660" s="57"/>
    </row>
    <row r="661" spans="1:65" ht="11.25" x14ac:dyDescent="0.2">
      <c r="A661" s="57"/>
      <c r="B661" s="57"/>
      <c r="C661" s="57"/>
      <c r="D661" s="57"/>
      <c r="E661" s="57"/>
      <c r="F661" s="57"/>
      <c r="G661" s="57"/>
      <c r="H661" s="57"/>
      <c r="I661" s="57"/>
      <c r="J661" s="57"/>
      <c r="L661" s="57"/>
      <c r="M661" s="57"/>
      <c r="N661" s="57"/>
      <c r="O661" s="57"/>
      <c r="P661" s="57"/>
      <c r="Q661" s="57"/>
      <c r="R661" s="57"/>
      <c r="S661" s="57"/>
      <c r="T661" s="57"/>
      <c r="U661" s="57"/>
      <c r="V661" s="57"/>
      <c r="W661" s="57"/>
      <c r="X661" s="57"/>
      <c r="Y661" s="98"/>
      <c r="AA661" s="98"/>
      <c r="AR661" s="98"/>
      <c r="AS661" s="57"/>
      <c r="AU661" s="57"/>
      <c r="BF661" s="98"/>
      <c r="BG661" s="98"/>
      <c r="BH661" s="98"/>
      <c r="BI661" s="98"/>
      <c r="BJ661" s="98"/>
      <c r="BK661" s="98"/>
      <c r="BL661" s="98"/>
      <c r="BM661" s="57"/>
    </row>
    <row r="662" spans="1:65" ht="11.25" x14ac:dyDescent="0.2">
      <c r="A662" s="57"/>
      <c r="B662" s="57"/>
      <c r="C662" s="57"/>
      <c r="D662" s="57"/>
      <c r="E662" s="57"/>
      <c r="F662" s="57"/>
      <c r="G662" s="57"/>
      <c r="H662" s="57"/>
      <c r="I662" s="57"/>
      <c r="J662" s="57"/>
      <c r="L662" s="57"/>
      <c r="M662" s="57"/>
      <c r="N662" s="57"/>
      <c r="O662" s="57"/>
      <c r="P662" s="57"/>
      <c r="Q662" s="57"/>
      <c r="R662" s="57"/>
      <c r="S662" s="57"/>
      <c r="T662" s="57"/>
      <c r="U662" s="57"/>
      <c r="V662" s="57"/>
      <c r="W662" s="57"/>
      <c r="X662" s="57"/>
      <c r="Y662" s="98"/>
      <c r="AA662" s="98"/>
      <c r="AR662" s="98"/>
      <c r="AS662" s="57"/>
      <c r="AU662" s="57"/>
      <c r="BF662" s="98"/>
      <c r="BG662" s="98"/>
      <c r="BH662" s="98"/>
      <c r="BI662" s="98"/>
      <c r="BJ662" s="98"/>
      <c r="BK662" s="98"/>
      <c r="BL662" s="98"/>
      <c r="BM662" s="57"/>
    </row>
    <row r="663" spans="1:65" ht="11.25" x14ac:dyDescent="0.2">
      <c r="A663" s="57"/>
      <c r="B663" s="57"/>
      <c r="C663" s="57"/>
      <c r="D663" s="57"/>
      <c r="E663" s="57"/>
      <c r="F663" s="57"/>
      <c r="G663" s="57"/>
      <c r="H663" s="57"/>
      <c r="I663" s="57"/>
      <c r="J663" s="57"/>
      <c r="L663" s="57"/>
      <c r="M663" s="57"/>
      <c r="N663" s="57"/>
      <c r="O663" s="57"/>
      <c r="P663" s="57"/>
      <c r="Q663" s="57"/>
      <c r="R663" s="57"/>
      <c r="S663" s="57"/>
      <c r="T663" s="57"/>
      <c r="U663" s="57"/>
      <c r="V663" s="57"/>
      <c r="W663" s="57"/>
      <c r="X663" s="57"/>
      <c r="Y663" s="98"/>
      <c r="AA663" s="98"/>
      <c r="AR663" s="98"/>
      <c r="AS663" s="57"/>
      <c r="AU663" s="57"/>
      <c r="BF663" s="98"/>
      <c r="BG663" s="98"/>
      <c r="BH663" s="98"/>
      <c r="BI663" s="98"/>
      <c r="BJ663" s="98"/>
      <c r="BK663" s="98"/>
      <c r="BL663" s="98"/>
      <c r="BM663" s="57"/>
    </row>
    <row r="664" spans="1:65" ht="11.25" x14ac:dyDescent="0.2">
      <c r="A664" s="57"/>
      <c r="B664" s="57"/>
      <c r="C664" s="57"/>
      <c r="D664" s="57"/>
      <c r="E664" s="57"/>
      <c r="F664" s="57"/>
      <c r="G664" s="57"/>
      <c r="H664" s="57"/>
      <c r="I664" s="57"/>
      <c r="J664" s="57"/>
      <c r="L664" s="57"/>
      <c r="M664" s="57"/>
      <c r="N664" s="57"/>
      <c r="O664" s="57"/>
      <c r="P664" s="57"/>
      <c r="Q664" s="57"/>
      <c r="R664" s="57"/>
      <c r="S664" s="57"/>
      <c r="T664" s="57"/>
      <c r="U664" s="57"/>
      <c r="V664" s="57"/>
      <c r="W664" s="57"/>
      <c r="X664" s="57"/>
      <c r="Y664" s="98"/>
      <c r="AA664" s="98"/>
      <c r="AR664" s="98"/>
      <c r="AS664" s="57"/>
      <c r="AU664" s="57"/>
      <c r="BF664" s="98"/>
      <c r="BG664" s="98"/>
      <c r="BH664" s="98"/>
      <c r="BI664" s="98"/>
      <c r="BJ664" s="98"/>
      <c r="BK664" s="98"/>
      <c r="BL664" s="98"/>
      <c r="BM664" s="57"/>
    </row>
    <row r="665" spans="1:65" ht="11.25" x14ac:dyDescent="0.2">
      <c r="A665" s="57"/>
      <c r="B665" s="57"/>
      <c r="C665" s="57"/>
      <c r="D665" s="57"/>
      <c r="E665" s="57"/>
      <c r="F665" s="57"/>
      <c r="G665" s="57"/>
      <c r="H665" s="57"/>
      <c r="I665" s="57"/>
      <c r="J665" s="57"/>
      <c r="L665" s="57"/>
      <c r="M665" s="57"/>
      <c r="N665" s="57"/>
      <c r="O665" s="57"/>
      <c r="P665" s="57"/>
      <c r="Q665" s="57"/>
      <c r="R665" s="57"/>
      <c r="S665" s="57"/>
      <c r="T665" s="57"/>
      <c r="U665" s="57"/>
      <c r="V665" s="57"/>
      <c r="W665" s="57"/>
      <c r="X665" s="57"/>
      <c r="Y665" s="98"/>
      <c r="AA665" s="98"/>
      <c r="AR665" s="98"/>
      <c r="AS665" s="57"/>
      <c r="AU665" s="57"/>
      <c r="BF665" s="98"/>
      <c r="BG665" s="98"/>
      <c r="BH665" s="98"/>
      <c r="BI665" s="98"/>
      <c r="BJ665" s="98"/>
      <c r="BK665" s="98"/>
      <c r="BL665" s="98"/>
      <c r="BM665" s="57"/>
    </row>
    <row r="666" spans="1:65" ht="11.25" x14ac:dyDescent="0.2">
      <c r="A666" s="57"/>
      <c r="B666" s="57"/>
      <c r="C666" s="57"/>
      <c r="D666" s="57"/>
      <c r="E666" s="57"/>
      <c r="F666" s="57"/>
      <c r="G666" s="57"/>
      <c r="H666" s="57"/>
      <c r="I666" s="57"/>
      <c r="J666" s="57"/>
      <c r="L666" s="57"/>
      <c r="M666" s="57"/>
      <c r="N666" s="57"/>
      <c r="O666" s="57"/>
      <c r="P666" s="57"/>
      <c r="Q666" s="57"/>
      <c r="R666" s="57"/>
      <c r="S666" s="57"/>
      <c r="T666" s="57"/>
      <c r="U666" s="57"/>
      <c r="V666" s="57"/>
      <c r="W666" s="57"/>
      <c r="X666" s="57"/>
      <c r="Y666" s="98"/>
      <c r="AA666" s="98"/>
      <c r="AR666" s="98"/>
      <c r="AS666" s="57"/>
      <c r="AU666" s="57"/>
      <c r="BF666" s="98"/>
      <c r="BG666" s="98"/>
      <c r="BH666" s="98"/>
      <c r="BI666" s="98"/>
      <c r="BJ666" s="98"/>
      <c r="BK666" s="98"/>
      <c r="BL666" s="98"/>
      <c r="BM666" s="57"/>
    </row>
    <row r="667" spans="1:65" ht="11.25" x14ac:dyDescent="0.2">
      <c r="A667" s="57"/>
      <c r="B667" s="57"/>
      <c r="C667" s="57"/>
      <c r="D667" s="57"/>
      <c r="E667" s="57"/>
      <c r="F667" s="57"/>
      <c r="G667" s="57"/>
      <c r="H667" s="57"/>
      <c r="I667" s="57"/>
      <c r="J667" s="57"/>
      <c r="L667" s="57"/>
      <c r="M667" s="57"/>
      <c r="N667" s="57"/>
      <c r="O667" s="57"/>
      <c r="P667" s="57"/>
      <c r="Q667" s="57"/>
      <c r="R667" s="57"/>
      <c r="S667" s="57"/>
      <c r="T667" s="57"/>
      <c r="U667" s="57"/>
      <c r="V667" s="57"/>
      <c r="W667" s="57"/>
      <c r="X667" s="57"/>
      <c r="Y667" s="98"/>
      <c r="AA667" s="98"/>
      <c r="AR667" s="98"/>
      <c r="AS667" s="57"/>
      <c r="AU667" s="57"/>
      <c r="BF667" s="98"/>
      <c r="BG667" s="98"/>
      <c r="BH667" s="98"/>
      <c r="BI667" s="98"/>
      <c r="BJ667" s="98"/>
      <c r="BK667" s="98"/>
      <c r="BL667" s="98"/>
      <c r="BM667" s="57"/>
    </row>
    <row r="668" spans="1:65" ht="11.25" x14ac:dyDescent="0.2">
      <c r="A668" s="57"/>
      <c r="B668" s="57"/>
      <c r="C668" s="57"/>
      <c r="D668" s="57"/>
      <c r="E668" s="57"/>
      <c r="F668" s="57"/>
      <c r="G668" s="57"/>
      <c r="H668" s="57"/>
      <c r="I668" s="57"/>
      <c r="J668" s="57"/>
      <c r="L668" s="57"/>
      <c r="M668" s="57"/>
      <c r="N668" s="57"/>
      <c r="O668" s="57"/>
      <c r="P668" s="57"/>
      <c r="Q668" s="57"/>
      <c r="R668" s="57"/>
      <c r="S668" s="57"/>
      <c r="T668" s="57"/>
      <c r="U668" s="57"/>
      <c r="V668" s="57"/>
      <c r="W668" s="57"/>
      <c r="X668" s="57"/>
      <c r="Y668" s="98"/>
      <c r="AA668" s="98"/>
      <c r="AR668" s="98"/>
      <c r="AS668" s="57"/>
      <c r="AU668" s="57"/>
      <c r="BF668" s="98"/>
      <c r="BG668" s="98"/>
      <c r="BH668" s="98"/>
      <c r="BI668" s="98"/>
      <c r="BJ668" s="98"/>
      <c r="BK668" s="98"/>
      <c r="BL668" s="98"/>
      <c r="BM668" s="57"/>
    </row>
    <row r="669" spans="1:65" ht="11.25" x14ac:dyDescent="0.2">
      <c r="A669" s="57"/>
      <c r="B669" s="57"/>
      <c r="C669" s="57"/>
      <c r="D669" s="57"/>
      <c r="E669" s="57"/>
      <c r="F669" s="57"/>
      <c r="G669" s="57"/>
      <c r="H669" s="57"/>
      <c r="I669" s="57"/>
      <c r="J669" s="57"/>
      <c r="L669" s="57"/>
      <c r="M669" s="57"/>
      <c r="N669" s="57"/>
      <c r="O669" s="57"/>
      <c r="P669" s="57"/>
      <c r="Q669" s="57"/>
      <c r="R669" s="57"/>
      <c r="S669" s="57"/>
      <c r="T669" s="57"/>
      <c r="U669" s="57"/>
      <c r="V669" s="57"/>
      <c r="W669" s="57"/>
      <c r="X669" s="57"/>
      <c r="Y669" s="98"/>
      <c r="AA669" s="98"/>
      <c r="AR669" s="98"/>
      <c r="AS669" s="57"/>
      <c r="AU669" s="57"/>
      <c r="BF669" s="98"/>
      <c r="BG669" s="98"/>
      <c r="BH669" s="98"/>
      <c r="BI669" s="98"/>
      <c r="BJ669" s="98"/>
      <c r="BK669" s="98"/>
      <c r="BL669" s="98"/>
      <c r="BM669" s="57"/>
    </row>
    <row r="670" spans="1:65" ht="11.25" x14ac:dyDescent="0.2">
      <c r="A670" s="57"/>
      <c r="B670" s="57"/>
      <c r="C670" s="57"/>
      <c r="D670" s="57"/>
      <c r="E670" s="57"/>
      <c r="F670" s="57"/>
      <c r="G670" s="57"/>
      <c r="H670" s="57"/>
      <c r="I670" s="57"/>
      <c r="J670" s="57"/>
      <c r="L670" s="57"/>
      <c r="M670" s="57"/>
      <c r="N670" s="57"/>
      <c r="O670" s="57"/>
      <c r="P670" s="57"/>
      <c r="Q670" s="57"/>
      <c r="R670" s="57"/>
      <c r="S670" s="57"/>
      <c r="T670" s="57"/>
      <c r="U670" s="57"/>
      <c r="V670" s="57"/>
      <c r="W670" s="57"/>
      <c r="X670" s="57"/>
      <c r="Y670" s="98"/>
      <c r="AA670" s="98"/>
      <c r="AR670" s="98"/>
      <c r="AS670" s="57"/>
      <c r="AU670" s="57"/>
      <c r="BF670" s="98"/>
      <c r="BG670" s="98"/>
      <c r="BH670" s="98"/>
      <c r="BI670" s="98"/>
      <c r="BJ670" s="98"/>
      <c r="BK670" s="98"/>
      <c r="BL670" s="98"/>
      <c r="BM670" s="57"/>
    </row>
    <row r="671" spans="1:65" ht="11.25" x14ac:dyDescent="0.2">
      <c r="A671" s="57"/>
      <c r="B671" s="57"/>
      <c r="C671" s="57"/>
      <c r="D671" s="57"/>
      <c r="E671" s="57"/>
      <c r="F671" s="57"/>
      <c r="G671" s="57"/>
      <c r="H671" s="57"/>
      <c r="I671" s="57"/>
      <c r="J671" s="57"/>
      <c r="L671" s="57"/>
      <c r="M671" s="57"/>
      <c r="N671" s="57"/>
      <c r="O671" s="57"/>
      <c r="P671" s="57"/>
      <c r="Q671" s="57"/>
      <c r="R671" s="57"/>
      <c r="S671" s="57"/>
      <c r="T671" s="57"/>
      <c r="U671" s="57"/>
      <c r="V671" s="57"/>
      <c r="W671" s="57"/>
      <c r="X671" s="57"/>
      <c r="Y671" s="98"/>
      <c r="AA671" s="98"/>
      <c r="AR671" s="98"/>
      <c r="AS671" s="57"/>
      <c r="AU671" s="57"/>
      <c r="BF671" s="98"/>
      <c r="BG671" s="98"/>
      <c r="BH671" s="98"/>
      <c r="BI671" s="98"/>
      <c r="BJ671" s="98"/>
      <c r="BK671" s="98"/>
      <c r="BL671" s="98"/>
      <c r="BM671" s="57"/>
    </row>
    <row r="672" spans="1:65" ht="11.25" x14ac:dyDescent="0.2">
      <c r="A672" s="57"/>
      <c r="B672" s="57"/>
      <c r="C672" s="57"/>
      <c r="D672" s="57"/>
      <c r="E672" s="57"/>
      <c r="F672" s="57"/>
      <c r="G672" s="57"/>
      <c r="H672" s="57"/>
      <c r="I672" s="57"/>
      <c r="J672" s="57"/>
      <c r="L672" s="57"/>
      <c r="M672" s="57"/>
      <c r="N672" s="57"/>
      <c r="O672" s="57"/>
      <c r="P672" s="57"/>
      <c r="Q672" s="57"/>
      <c r="R672" s="57"/>
      <c r="S672" s="57"/>
      <c r="T672" s="57"/>
      <c r="U672" s="57"/>
      <c r="V672" s="57"/>
      <c r="W672" s="57"/>
      <c r="X672" s="57"/>
      <c r="Y672" s="98"/>
      <c r="AA672" s="98"/>
      <c r="AR672" s="98"/>
      <c r="AS672" s="57"/>
      <c r="AU672" s="57"/>
      <c r="BF672" s="98"/>
      <c r="BG672" s="98"/>
      <c r="BH672" s="98"/>
      <c r="BI672" s="98"/>
      <c r="BJ672" s="98"/>
      <c r="BK672" s="98"/>
      <c r="BL672" s="98"/>
      <c r="BM672" s="57"/>
    </row>
    <row r="673" spans="1:65" ht="11.25" x14ac:dyDescent="0.2">
      <c r="A673" s="57"/>
      <c r="B673" s="57"/>
      <c r="C673" s="57"/>
      <c r="D673" s="57"/>
      <c r="E673" s="57"/>
      <c r="F673" s="57"/>
      <c r="G673" s="57"/>
      <c r="H673" s="57"/>
      <c r="I673" s="57"/>
      <c r="J673" s="57"/>
      <c r="L673" s="57"/>
      <c r="M673" s="57"/>
      <c r="N673" s="57"/>
      <c r="O673" s="57"/>
      <c r="P673" s="57"/>
      <c r="Q673" s="57"/>
      <c r="R673" s="57"/>
      <c r="S673" s="57"/>
      <c r="T673" s="57"/>
      <c r="U673" s="57"/>
      <c r="V673" s="57"/>
      <c r="W673" s="57"/>
      <c r="X673" s="57"/>
      <c r="Y673" s="98"/>
      <c r="AA673" s="98"/>
      <c r="AR673" s="98"/>
      <c r="AS673" s="57"/>
      <c r="AU673" s="57"/>
      <c r="BF673" s="98"/>
      <c r="BG673" s="98"/>
      <c r="BH673" s="98"/>
      <c r="BI673" s="98"/>
      <c r="BJ673" s="98"/>
      <c r="BK673" s="98"/>
      <c r="BL673" s="98"/>
      <c r="BM673" s="57"/>
    </row>
    <row r="674" spans="1:65" ht="11.25" x14ac:dyDescent="0.2">
      <c r="A674" s="57"/>
      <c r="B674" s="57"/>
      <c r="C674" s="57"/>
      <c r="D674" s="57"/>
      <c r="E674" s="57"/>
      <c r="F674" s="57"/>
      <c r="G674" s="57"/>
      <c r="H674" s="57"/>
      <c r="I674" s="57"/>
      <c r="J674" s="57"/>
      <c r="L674" s="57"/>
      <c r="M674" s="57"/>
      <c r="N674" s="57"/>
      <c r="O674" s="57"/>
      <c r="P674" s="57"/>
      <c r="Q674" s="57"/>
      <c r="R674" s="57"/>
      <c r="S674" s="57"/>
      <c r="T674" s="57"/>
      <c r="U674" s="57"/>
      <c r="V674" s="57"/>
      <c r="W674" s="57"/>
      <c r="X674" s="57"/>
      <c r="Y674" s="98"/>
      <c r="AA674" s="98"/>
      <c r="AR674" s="98"/>
      <c r="AS674" s="57"/>
      <c r="AU674" s="57"/>
      <c r="BF674" s="98"/>
      <c r="BG674" s="98"/>
      <c r="BH674" s="98"/>
      <c r="BI674" s="98"/>
      <c r="BJ674" s="98"/>
      <c r="BK674" s="98"/>
      <c r="BL674" s="98"/>
      <c r="BM674" s="57"/>
    </row>
    <row r="675" spans="1:65" ht="11.25" x14ac:dyDescent="0.2">
      <c r="A675" s="57"/>
      <c r="B675" s="57"/>
      <c r="C675" s="57"/>
      <c r="D675" s="57"/>
      <c r="E675" s="57"/>
      <c r="F675" s="57"/>
      <c r="G675" s="57"/>
      <c r="H675" s="57"/>
      <c r="I675" s="57"/>
      <c r="J675" s="57"/>
      <c r="L675" s="57"/>
      <c r="M675" s="57"/>
      <c r="N675" s="57"/>
      <c r="O675" s="57"/>
      <c r="P675" s="57"/>
      <c r="Q675" s="57"/>
      <c r="R675" s="57"/>
      <c r="S675" s="57"/>
      <c r="T675" s="57"/>
      <c r="U675" s="57"/>
      <c r="V675" s="57"/>
      <c r="W675" s="57"/>
      <c r="X675" s="57"/>
      <c r="Y675" s="98"/>
      <c r="AA675" s="98"/>
      <c r="AR675" s="98"/>
      <c r="AS675" s="57"/>
      <c r="AU675" s="57"/>
      <c r="BF675" s="98"/>
      <c r="BG675" s="98"/>
      <c r="BH675" s="98"/>
      <c r="BI675" s="98"/>
      <c r="BJ675" s="98"/>
      <c r="BK675" s="98"/>
      <c r="BL675" s="98"/>
      <c r="BM675" s="57"/>
    </row>
    <row r="676" spans="1:65" ht="11.25" x14ac:dyDescent="0.2">
      <c r="A676" s="57"/>
      <c r="B676" s="57"/>
      <c r="C676" s="57"/>
      <c r="D676" s="57"/>
      <c r="E676" s="57"/>
      <c r="F676" s="57"/>
      <c r="G676" s="57"/>
      <c r="H676" s="57"/>
      <c r="I676" s="57"/>
      <c r="J676" s="57"/>
      <c r="L676" s="57"/>
      <c r="M676" s="57"/>
      <c r="N676" s="57"/>
      <c r="O676" s="57"/>
      <c r="P676" s="57"/>
      <c r="Q676" s="57"/>
      <c r="R676" s="57"/>
      <c r="S676" s="57"/>
      <c r="T676" s="57"/>
      <c r="U676" s="57"/>
      <c r="V676" s="57"/>
      <c r="W676" s="57"/>
      <c r="X676" s="57"/>
      <c r="Y676" s="98"/>
      <c r="AA676" s="98"/>
      <c r="AR676" s="98"/>
      <c r="AS676" s="57"/>
      <c r="AU676" s="57"/>
      <c r="BF676" s="98"/>
      <c r="BG676" s="98"/>
      <c r="BH676" s="98"/>
      <c r="BI676" s="98"/>
      <c r="BJ676" s="98"/>
      <c r="BK676" s="98"/>
      <c r="BL676" s="98"/>
      <c r="BM676" s="57"/>
    </row>
    <row r="677" spans="1:65" ht="11.25" x14ac:dyDescent="0.2">
      <c r="A677" s="57"/>
      <c r="B677" s="57"/>
      <c r="C677" s="57"/>
      <c r="D677" s="57"/>
      <c r="E677" s="57"/>
      <c r="F677" s="57"/>
      <c r="G677" s="57"/>
      <c r="H677" s="57"/>
      <c r="I677" s="57"/>
      <c r="J677" s="57"/>
      <c r="L677" s="57"/>
      <c r="M677" s="57"/>
      <c r="N677" s="57"/>
      <c r="O677" s="57"/>
      <c r="P677" s="57"/>
      <c r="Q677" s="57"/>
      <c r="R677" s="57"/>
      <c r="S677" s="57"/>
      <c r="T677" s="57"/>
      <c r="U677" s="57"/>
      <c r="V677" s="57"/>
      <c r="W677" s="57"/>
      <c r="X677" s="57"/>
      <c r="Y677" s="98"/>
      <c r="AA677" s="98"/>
      <c r="AR677" s="98"/>
      <c r="AS677" s="57"/>
      <c r="AU677" s="57"/>
      <c r="BF677" s="98"/>
      <c r="BG677" s="98"/>
      <c r="BH677" s="98"/>
      <c r="BI677" s="98"/>
      <c r="BJ677" s="98"/>
      <c r="BK677" s="98"/>
      <c r="BL677" s="98"/>
      <c r="BM677" s="57"/>
    </row>
    <row r="678" spans="1:65" ht="11.25" x14ac:dyDescent="0.2">
      <c r="A678" s="57"/>
      <c r="B678" s="57"/>
      <c r="C678" s="57"/>
      <c r="D678" s="57"/>
      <c r="E678" s="57"/>
      <c r="F678" s="57"/>
      <c r="G678" s="57"/>
      <c r="H678" s="57"/>
      <c r="I678" s="57"/>
      <c r="J678" s="57"/>
      <c r="L678" s="57"/>
      <c r="M678" s="57"/>
      <c r="N678" s="57"/>
      <c r="O678" s="57"/>
      <c r="P678" s="57"/>
      <c r="Q678" s="57"/>
      <c r="R678" s="57"/>
      <c r="S678" s="57"/>
      <c r="T678" s="57"/>
      <c r="U678" s="57"/>
      <c r="V678" s="57"/>
      <c r="W678" s="57"/>
      <c r="X678" s="57"/>
      <c r="Y678" s="98"/>
      <c r="AA678" s="98"/>
      <c r="AR678" s="98"/>
      <c r="AS678" s="57"/>
      <c r="AU678" s="57"/>
      <c r="BF678" s="98"/>
      <c r="BG678" s="98"/>
      <c r="BH678" s="98"/>
      <c r="BI678" s="98"/>
      <c r="BJ678" s="98"/>
      <c r="BK678" s="98"/>
      <c r="BL678" s="98"/>
      <c r="BM678" s="57"/>
    </row>
    <row r="679" spans="1:65" ht="11.25" x14ac:dyDescent="0.2">
      <c r="A679" s="57"/>
      <c r="B679" s="57"/>
      <c r="C679" s="57"/>
      <c r="D679" s="57"/>
      <c r="E679" s="57"/>
      <c r="F679" s="57"/>
      <c r="G679" s="57"/>
      <c r="H679" s="57"/>
      <c r="I679" s="57"/>
      <c r="J679" s="57"/>
      <c r="L679" s="57"/>
      <c r="M679" s="57"/>
      <c r="N679" s="57"/>
      <c r="O679" s="57"/>
      <c r="P679" s="57"/>
      <c r="Q679" s="57"/>
      <c r="R679" s="57"/>
      <c r="S679" s="57"/>
      <c r="T679" s="57"/>
      <c r="U679" s="57"/>
      <c r="V679" s="57"/>
      <c r="W679" s="57"/>
      <c r="X679" s="57"/>
      <c r="Y679" s="98"/>
      <c r="AA679" s="98"/>
      <c r="AR679" s="98"/>
      <c r="AS679" s="57"/>
      <c r="AU679" s="57"/>
      <c r="BF679" s="98"/>
      <c r="BG679" s="98"/>
      <c r="BH679" s="98"/>
      <c r="BI679" s="98"/>
      <c r="BJ679" s="98"/>
      <c r="BK679" s="98"/>
      <c r="BL679" s="98"/>
      <c r="BM679" s="57"/>
    </row>
    <row r="680" spans="1:65" ht="11.25" x14ac:dyDescent="0.2">
      <c r="A680" s="57"/>
      <c r="B680" s="57"/>
      <c r="C680" s="57"/>
      <c r="D680" s="57"/>
      <c r="E680" s="57"/>
      <c r="F680" s="57"/>
      <c r="G680" s="57"/>
      <c r="H680" s="57"/>
      <c r="I680" s="57"/>
      <c r="J680" s="57"/>
      <c r="L680" s="57"/>
      <c r="M680" s="57"/>
      <c r="N680" s="57"/>
      <c r="O680" s="57"/>
      <c r="P680" s="57"/>
      <c r="Q680" s="57"/>
      <c r="R680" s="57"/>
      <c r="S680" s="57"/>
      <c r="T680" s="57"/>
      <c r="U680" s="57"/>
      <c r="V680" s="57"/>
      <c r="W680" s="57"/>
      <c r="X680" s="57"/>
      <c r="Y680" s="98"/>
      <c r="AA680" s="98"/>
      <c r="AR680" s="98"/>
      <c r="AS680" s="57"/>
      <c r="AU680" s="57"/>
      <c r="BF680" s="98"/>
      <c r="BG680" s="98"/>
      <c r="BH680" s="98"/>
      <c r="BI680" s="98"/>
      <c r="BJ680" s="98"/>
      <c r="BK680" s="98"/>
      <c r="BL680" s="98"/>
      <c r="BM680" s="57"/>
    </row>
    <row r="681" spans="1:65" ht="11.25" x14ac:dyDescent="0.2">
      <c r="A681" s="57"/>
      <c r="B681" s="57"/>
      <c r="C681" s="57"/>
      <c r="D681" s="57"/>
      <c r="E681" s="57"/>
      <c r="F681" s="57"/>
      <c r="G681" s="57"/>
      <c r="H681" s="57"/>
      <c r="I681" s="57"/>
      <c r="J681" s="57"/>
      <c r="L681" s="57"/>
      <c r="M681" s="57"/>
      <c r="N681" s="57"/>
      <c r="O681" s="57"/>
      <c r="P681" s="57"/>
      <c r="Q681" s="57"/>
      <c r="R681" s="57"/>
      <c r="S681" s="57"/>
      <c r="T681" s="57"/>
      <c r="U681" s="57"/>
      <c r="V681" s="57"/>
      <c r="W681" s="57"/>
      <c r="X681" s="57"/>
      <c r="Y681" s="98"/>
      <c r="AA681" s="98"/>
      <c r="AR681" s="98"/>
      <c r="AS681" s="57"/>
      <c r="AU681" s="57"/>
      <c r="BF681" s="98"/>
      <c r="BG681" s="98"/>
      <c r="BH681" s="98"/>
      <c r="BI681" s="98"/>
      <c r="BJ681" s="98"/>
      <c r="BK681" s="98"/>
      <c r="BL681" s="98"/>
      <c r="BM681" s="57"/>
    </row>
    <row r="682" spans="1:65" ht="11.25" x14ac:dyDescent="0.2">
      <c r="A682" s="57"/>
      <c r="B682" s="57"/>
      <c r="C682" s="57"/>
      <c r="D682" s="57"/>
      <c r="E682" s="57"/>
      <c r="F682" s="57"/>
      <c r="G682" s="57"/>
      <c r="H682" s="57"/>
      <c r="I682" s="57"/>
      <c r="J682" s="57"/>
      <c r="L682" s="57"/>
      <c r="M682" s="57"/>
      <c r="N682" s="57"/>
      <c r="O682" s="57"/>
      <c r="P682" s="57"/>
      <c r="Q682" s="57"/>
      <c r="R682" s="57"/>
      <c r="S682" s="57"/>
      <c r="T682" s="57"/>
      <c r="U682" s="57"/>
      <c r="V682" s="57"/>
      <c r="W682" s="57"/>
      <c r="X682" s="57"/>
      <c r="Y682" s="98"/>
      <c r="AA682" s="98"/>
      <c r="AR682" s="98"/>
      <c r="AS682" s="57"/>
      <c r="AU682" s="57"/>
      <c r="BF682" s="98"/>
      <c r="BG682" s="98"/>
      <c r="BH682" s="98"/>
      <c r="BI682" s="98"/>
      <c r="BJ682" s="98"/>
      <c r="BK682" s="98"/>
      <c r="BL682" s="98"/>
      <c r="BM682" s="57"/>
    </row>
    <row r="683" spans="1:65" ht="11.25" x14ac:dyDescent="0.2">
      <c r="A683" s="57"/>
      <c r="B683" s="57"/>
      <c r="C683" s="57"/>
      <c r="D683" s="57"/>
      <c r="E683" s="57"/>
      <c r="F683" s="57"/>
      <c r="G683" s="57"/>
      <c r="H683" s="57"/>
      <c r="I683" s="57"/>
      <c r="J683" s="57"/>
      <c r="L683" s="57"/>
      <c r="M683" s="57"/>
      <c r="N683" s="57"/>
      <c r="O683" s="57"/>
      <c r="P683" s="57"/>
      <c r="Q683" s="57"/>
      <c r="R683" s="57"/>
      <c r="S683" s="57"/>
      <c r="T683" s="57"/>
      <c r="U683" s="57"/>
      <c r="V683" s="57"/>
      <c r="W683" s="57"/>
      <c r="X683" s="57"/>
      <c r="Y683" s="98"/>
      <c r="AA683" s="98"/>
      <c r="AR683" s="98"/>
      <c r="AS683" s="57"/>
      <c r="AU683" s="57"/>
      <c r="BF683" s="98"/>
      <c r="BG683" s="98"/>
      <c r="BH683" s="98"/>
      <c r="BI683" s="98"/>
      <c r="BJ683" s="98"/>
      <c r="BK683" s="98"/>
      <c r="BL683" s="98"/>
      <c r="BM683" s="57"/>
    </row>
    <row r="684" spans="1:65" ht="11.25" x14ac:dyDescent="0.2">
      <c r="A684" s="57"/>
      <c r="B684" s="57"/>
      <c r="C684" s="57"/>
      <c r="D684" s="57"/>
      <c r="E684" s="57"/>
      <c r="F684" s="57"/>
      <c r="G684" s="57"/>
      <c r="H684" s="57"/>
      <c r="I684" s="57"/>
      <c r="J684" s="57"/>
      <c r="L684" s="57"/>
      <c r="M684" s="57"/>
      <c r="N684" s="57"/>
      <c r="O684" s="57"/>
      <c r="P684" s="57"/>
      <c r="Q684" s="57"/>
      <c r="R684" s="57"/>
      <c r="S684" s="57"/>
      <c r="T684" s="57"/>
      <c r="U684" s="57"/>
      <c r="V684" s="57"/>
      <c r="W684" s="57"/>
      <c r="X684" s="57"/>
      <c r="Y684" s="98"/>
      <c r="AA684" s="98"/>
      <c r="AR684" s="98"/>
      <c r="AS684" s="57"/>
      <c r="AU684" s="57"/>
      <c r="BF684" s="98"/>
      <c r="BG684" s="98"/>
      <c r="BH684" s="98"/>
      <c r="BI684" s="98"/>
      <c r="BJ684" s="98"/>
      <c r="BK684" s="98"/>
      <c r="BL684" s="98"/>
      <c r="BM684" s="57"/>
    </row>
    <row r="685" spans="1:65" ht="11.25" x14ac:dyDescent="0.2">
      <c r="A685" s="57"/>
      <c r="B685" s="57"/>
      <c r="C685" s="57"/>
      <c r="D685" s="57"/>
      <c r="E685" s="57"/>
      <c r="F685" s="57"/>
      <c r="G685" s="57"/>
      <c r="H685" s="57"/>
      <c r="I685" s="57"/>
      <c r="J685" s="57"/>
      <c r="L685" s="57"/>
      <c r="M685" s="57"/>
      <c r="N685" s="57"/>
      <c r="O685" s="57"/>
      <c r="P685" s="57"/>
      <c r="Q685" s="57"/>
      <c r="R685" s="57"/>
      <c r="S685" s="57"/>
      <c r="T685" s="57"/>
      <c r="U685" s="57"/>
      <c r="V685" s="57"/>
      <c r="W685" s="57"/>
      <c r="X685" s="57"/>
      <c r="Y685" s="98"/>
      <c r="AA685" s="98"/>
      <c r="AR685" s="98"/>
      <c r="AS685" s="57"/>
      <c r="AU685" s="57"/>
      <c r="BF685" s="98"/>
      <c r="BG685" s="98"/>
      <c r="BH685" s="98"/>
      <c r="BI685" s="98"/>
      <c r="BJ685" s="98"/>
      <c r="BK685" s="98"/>
      <c r="BL685" s="98"/>
      <c r="BM685" s="57"/>
    </row>
    <row r="686" spans="1:65" ht="11.25" x14ac:dyDescent="0.2">
      <c r="A686" s="57"/>
      <c r="B686" s="57"/>
      <c r="C686" s="57"/>
      <c r="D686" s="57"/>
      <c r="E686" s="57"/>
      <c r="F686" s="57"/>
      <c r="G686" s="57"/>
      <c r="H686" s="57"/>
      <c r="I686" s="57"/>
      <c r="J686" s="57"/>
      <c r="L686" s="57"/>
      <c r="M686" s="57"/>
      <c r="N686" s="57"/>
      <c r="O686" s="57"/>
      <c r="P686" s="57"/>
      <c r="Q686" s="57"/>
      <c r="R686" s="57"/>
      <c r="S686" s="57"/>
      <c r="T686" s="57"/>
      <c r="U686" s="57"/>
      <c r="V686" s="57"/>
      <c r="W686" s="57"/>
      <c r="X686" s="57"/>
      <c r="Y686" s="98"/>
      <c r="AA686" s="98"/>
      <c r="AR686" s="98"/>
      <c r="AS686" s="57"/>
      <c r="AU686" s="57"/>
      <c r="BF686" s="98"/>
      <c r="BG686" s="98"/>
      <c r="BH686" s="98"/>
      <c r="BI686" s="98"/>
      <c r="BJ686" s="98"/>
      <c r="BK686" s="98"/>
      <c r="BL686" s="98"/>
      <c r="BM686" s="57"/>
    </row>
    <row r="687" spans="1:65" ht="11.25" x14ac:dyDescent="0.2">
      <c r="A687" s="57"/>
      <c r="B687" s="57"/>
      <c r="C687" s="57"/>
      <c r="D687" s="57"/>
      <c r="E687" s="57"/>
      <c r="F687" s="57"/>
      <c r="G687" s="57"/>
      <c r="H687" s="57"/>
      <c r="I687" s="57"/>
      <c r="J687" s="57"/>
      <c r="L687" s="57"/>
      <c r="M687" s="57"/>
      <c r="N687" s="57"/>
      <c r="O687" s="57"/>
      <c r="P687" s="57"/>
      <c r="Q687" s="57"/>
      <c r="R687" s="57"/>
      <c r="S687" s="57"/>
      <c r="T687" s="57"/>
      <c r="U687" s="57"/>
      <c r="V687" s="57"/>
      <c r="W687" s="57"/>
      <c r="X687" s="57"/>
      <c r="Y687" s="98"/>
      <c r="AA687" s="98"/>
      <c r="AR687" s="98"/>
      <c r="AS687" s="57"/>
      <c r="AU687" s="57"/>
      <c r="BF687" s="98"/>
      <c r="BG687" s="98"/>
      <c r="BH687" s="98"/>
      <c r="BI687" s="98"/>
      <c r="BJ687" s="98"/>
      <c r="BK687" s="98"/>
      <c r="BL687" s="98"/>
      <c r="BM687" s="57"/>
    </row>
    <row r="688" spans="1:65" ht="11.25" x14ac:dyDescent="0.2">
      <c r="A688" s="57"/>
      <c r="B688" s="57"/>
      <c r="C688" s="57"/>
      <c r="D688" s="57"/>
      <c r="E688" s="57"/>
      <c r="F688" s="57"/>
      <c r="G688" s="57"/>
      <c r="H688" s="57"/>
      <c r="I688" s="57"/>
      <c r="J688" s="57"/>
      <c r="L688" s="57"/>
      <c r="M688" s="57"/>
      <c r="N688" s="57"/>
      <c r="O688" s="57"/>
      <c r="P688" s="57"/>
      <c r="Q688" s="57"/>
      <c r="R688" s="57"/>
      <c r="S688" s="57"/>
      <c r="T688" s="57"/>
      <c r="U688" s="57"/>
      <c r="V688" s="57"/>
      <c r="W688" s="57"/>
      <c r="X688" s="57"/>
      <c r="Y688" s="98"/>
      <c r="AA688" s="98"/>
      <c r="AR688" s="98"/>
      <c r="AS688" s="57"/>
      <c r="AU688" s="57"/>
      <c r="BF688" s="98"/>
      <c r="BG688" s="98"/>
      <c r="BH688" s="98"/>
      <c r="BI688" s="98"/>
      <c r="BJ688" s="98"/>
      <c r="BK688" s="98"/>
      <c r="BL688" s="98"/>
      <c r="BM688" s="57"/>
    </row>
    <row r="689" spans="1:65" ht="11.25" x14ac:dyDescent="0.2">
      <c r="A689" s="57"/>
      <c r="B689" s="57"/>
      <c r="C689" s="57"/>
      <c r="D689" s="57"/>
      <c r="E689" s="57"/>
      <c r="F689" s="57"/>
      <c r="G689" s="57"/>
      <c r="H689" s="57"/>
      <c r="I689" s="57"/>
      <c r="J689" s="57"/>
      <c r="L689" s="57"/>
      <c r="M689" s="57"/>
      <c r="N689" s="57"/>
      <c r="O689" s="57"/>
      <c r="P689" s="57"/>
      <c r="Q689" s="57"/>
      <c r="R689" s="57"/>
      <c r="S689" s="57"/>
      <c r="T689" s="57"/>
      <c r="U689" s="57"/>
      <c r="V689" s="57"/>
      <c r="W689" s="57"/>
      <c r="X689" s="57"/>
      <c r="Y689" s="98"/>
      <c r="AA689" s="98"/>
      <c r="AR689" s="98"/>
      <c r="AS689" s="57"/>
      <c r="AU689" s="57"/>
      <c r="BF689" s="98"/>
      <c r="BG689" s="98"/>
      <c r="BH689" s="98"/>
      <c r="BI689" s="98"/>
      <c r="BJ689" s="98"/>
      <c r="BK689" s="98"/>
      <c r="BL689" s="98"/>
      <c r="BM689" s="57"/>
    </row>
    <row r="690" spans="1:65" ht="11.25" x14ac:dyDescent="0.2">
      <c r="A690" s="57"/>
      <c r="B690" s="57"/>
      <c r="C690" s="57"/>
      <c r="D690" s="57"/>
      <c r="E690" s="57"/>
      <c r="F690" s="57"/>
      <c r="G690" s="57"/>
      <c r="H690" s="57"/>
      <c r="I690" s="57"/>
      <c r="J690" s="57"/>
      <c r="L690" s="57"/>
      <c r="M690" s="57"/>
      <c r="N690" s="57"/>
      <c r="O690" s="57"/>
      <c r="P690" s="57"/>
      <c r="Q690" s="57"/>
      <c r="R690" s="57"/>
      <c r="S690" s="57"/>
      <c r="T690" s="57"/>
      <c r="U690" s="57"/>
      <c r="V690" s="57"/>
      <c r="W690" s="57"/>
      <c r="X690" s="57"/>
      <c r="Y690" s="98"/>
      <c r="AA690" s="98"/>
      <c r="AR690" s="98"/>
      <c r="AS690" s="57"/>
      <c r="AU690" s="57"/>
      <c r="BF690" s="98"/>
      <c r="BG690" s="98"/>
      <c r="BH690" s="98"/>
      <c r="BI690" s="98"/>
      <c r="BJ690" s="98"/>
      <c r="BK690" s="98"/>
      <c r="BL690" s="98"/>
      <c r="BM690" s="57"/>
    </row>
    <row r="691" spans="1:65" ht="11.25" x14ac:dyDescent="0.2">
      <c r="A691" s="57"/>
      <c r="B691" s="57"/>
      <c r="C691" s="57"/>
      <c r="D691" s="57"/>
      <c r="E691" s="57"/>
      <c r="F691" s="57"/>
      <c r="G691" s="57"/>
      <c r="H691" s="57"/>
      <c r="I691" s="57"/>
      <c r="J691" s="57"/>
      <c r="L691" s="57"/>
      <c r="M691" s="57"/>
      <c r="N691" s="57"/>
      <c r="O691" s="57"/>
      <c r="P691" s="57"/>
      <c r="Q691" s="57"/>
      <c r="R691" s="57"/>
      <c r="S691" s="57"/>
      <c r="T691" s="57"/>
      <c r="U691" s="57"/>
      <c r="V691" s="57"/>
      <c r="W691" s="57"/>
      <c r="X691" s="57"/>
      <c r="Y691" s="98"/>
      <c r="AA691" s="98"/>
      <c r="AR691" s="98"/>
      <c r="AS691" s="57"/>
      <c r="AU691" s="57"/>
      <c r="BF691" s="98"/>
      <c r="BG691" s="98"/>
      <c r="BH691" s="98"/>
      <c r="BI691" s="98"/>
      <c r="BJ691" s="98"/>
      <c r="BK691" s="98"/>
      <c r="BL691" s="98"/>
      <c r="BM691" s="57"/>
    </row>
    <row r="692" spans="1:65" ht="11.25" x14ac:dyDescent="0.2">
      <c r="A692" s="57"/>
      <c r="B692" s="57"/>
      <c r="C692" s="57"/>
      <c r="D692" s="57"/>
      <c r="E692" s="57"/>
      <c r="F692" s="57"/>
      <c r="G692" s="57"/>
      <c r="H692" s="57"/>
      <c r="I692" s="57"/>
      <c r="J692" s="57"/>
      <c r="L692" s="57"/>
      <c r="M692" s="57"/>
      <c r="N692" s="57"/>
      <c r="O692" s="57"/>
      <c r="P692" s="57"/>
      <c r="Q692" s="57"/>
      <c r="R692" s="57"/>
      <c r="S692" s="57"/>
      <c r="T692" s="57"/>
      <c r="U692" s="57"/>
      <c r="V692" s="57"/>
      <c r="W692" s="57"/>
      <c r="X692" s="57"/>
      <c r="Y692" s="98"/>
      <c r="AA692" s="98"/>
      <c r="AR692" s="98"/>
      <c r="AS692" s="57"/>
      <c r="AU692" s="57"/>
      <c r="BF692" s="98"/>
      <c r="BG692" s="98"/>
      <c r="BH692" s="98"/>
      <c r="BI692" s="98"/>
      <c r="BJ692" s="98"/>
      <c r="BK692" s="98"/>
      <c r="BL692" s="98"/>
      <c r="BM692" s="57"/>
    </row>
    <row r="693" spans="1:65" ht="11.25" x14ac:dyDescent="0.2">
      <c r="A693" s="57"/>
      <c r="B693" s="57"/>
      <c r="C693" s="57"/>
      <c r="D693" s="57"/>
      <c r="E693" s="57"/>
      <c r="F693" s="57"/>
      <c r="G693" s="57"/>
      <c r="H693" s="57"/>
      <c r="I693" s="57"/>
      <c r="J693" s="57"/>
      <c r="L693" s="57"/>
      <c r="M693" s="57"/>
      <c r="N693" s="57"/>
      <c r="O693" s="57"/>
      <c r="P693" s="57"/>
      <c r="Q693" s="57"/>
      <c r="R693" s="57"/>
      <c r="S693" s="57"/>
      <c r="T693" s="57"/>
      <c r="U693" s="57"/>
      <c r="V693" s="57"/>
      <c r="W693" s="57"/>
      <c r="X693" s="57"/>
      <c r="Y693" s="98"/>
      <c r="AA693" s="98"/>
      <c r="AR693" s="98"/>
      <c r="AS693" s="57"/>
      <c r="AU693" s="57"/>
      <c r="BF693" s="98"/>
      <c r="BG693" s="98"/>
      <c r="BH693" s="98"/>
      <c r="BI693" s="98"/>
      <c r="BJ693" s="98"/>
      <c r="BK693" s="98"/>
      <c r="BL693" s="98"/>
      <c r="BM693" s="57"/>
    </row>
    <row r="694" spans="1:65" ht="11.25" x14ac:dyDescent="0.2">
      <c r="A694" s="57"/>
      <c r="B694" s="57"/>
      <c r="C694" s="57"/>
      <c r="D694" s="57"/>
      <c r="E694" s="57"/>
      <c r="F694" s="57"/>
      <c r="G694" s="57"/>
      <c r="H694" s="57"/>
      <c r="I694" s="57"/>
      <c r="J694" s="57"/>
      <c r="L694" s="57"/>
      <c r="M694" s="57"/>
      <c r="N694" s="57"/>
      <c r="O694" s="57"/>
      <c r="P694" s="57"/>
      <c r="Q694" s="57"/>
      <c r="R694" s="57"/>
      <c r="S694" s="57"/>
      <c r="T694" s="57"/>
      <c r="U694" s="57"/>
      <c r="V694" s="57"/>
      <c r="W694" s="57"/>
      <c r="X694" s="57"/>
      <c r="Y694" s="98"/>
      <c r="AA694" s="98"/>
      <c r="AR694" s="98"/>
      <c r="AS694" s="57"/>
      <c r="AU694" s="57"/>
      <c r="BF694" s="98"/>
      <c r="BG694" s="98"/>
      <c r="BH694" s="98"/>
      <c r="BI694" s="98"/>
      <c r="BJ694" s="98"/>
      <c r="BK694" s="98"/>
      <c r="BL694" s="98"/>
      <c r="BM694" s="57"/>
    </row>
    <row r="695" spans="1:65" ht="11.25" x14ac:dyDescent="0.2">
      <c r="A695" s="57"/>
      <c r="B695" s="57"/>
      <c r="C695" s="57"/>
      <c r="D695" s="57"/>
      <c r="E695" s="57"/>
      <c r="F695" s="57"/>
      <c r="G695" s="57"/>
      <c r="H695" s="57"/>
      <c r="I695" s="57"/>
      <c r="J695" s="57"/>
      <c r="L695" s="57"/>
      <c r="M695" s="57"/>
      <c r="N695" s="57"/>
      <c r="O695" s="57"/>
      <c r="P695" s="57"/>
      <c r="Q695" s="57"/>
      <c r="R695" s="57"/>
      <c r="S695" s="57"/>
      <c r="T695" s="57"/>
      <c r="U695" s="57"/>
      <c r="V695" s="57"/>
      <c r="W695" s="57"/>
      <c r="X695" s="57"/>
      <c r="Y695" s="98"/>
      <c r="AA695" s="98"/>
      <c r="AR695" s="98"/>
      <c r="AS695" s="57"/>
      <c r="AU695" s="57"/>
      <c r="BF695" s="98"/>
      <c r="BG695" s="98"/>
      <c r="BH695" s="98"/>
      <c r="BI695" s="98"/>
      <c r="BJ695" s="98"/>
      <c r="BK695" s="98"/>
      <c r="BL695" s="98"/>
      <c r="BM695" s="57"/>
    </row>
    <row r="696" spans="1:65" ht="11.25" x14ac:dyDescent="0.2">
      <c r="A696" s="57"/>
      <c r="B696" s="57"/>
      <c r="C696" s="57"/>
      <c r="D696" s="57"/>
      <c r="E696" s="57"/>
      <c r="F696" s="57"/>
      <c r="G696" s="57"/>
      <c r="H696" s="57"/>
      <c r="I696" s="57"/>
      <c r="J696" s="57"/>
      <c r="L696" s="57"/>
      <c r="M696" s="57"/>
      <c r="N696" s="57"/>
      <c r="O696" s="57"/>
      <c r="P696" s="57"/>
      <c r="Q696" s="57"/>
      <c r="R696" s="57"/>
      <c r="S696" s="57"/>
      <c r="T696" s="57"/>
      <c r="U696" s="57"/>
      <c r="V696" s="57"/>
      <c r="W696" s="57"/>
      <c r="X696" s="57"/>
      <c r="Y696" s="98"/>
      <c r="AA696" s="98"/>
      <c r="AR696" s="98"/>
      <c r="AS696" s="57"/>
      <c r="AU696" s="57"/>
      <c r="BF696" s="98"/>
      <c r="BG696" s="98"/>
      <c r="BH696" s="98"/>
      <c r="BI696" s="98"/>
      <c r="BJ696" s="98"/>
      <c r="BK696" s="98"/>
      <c r="BL696" s="98"/>
      <c r="BM696" s="57"/>
    </row>
    <row r="697" spans="1:65" ht="11.25" x14ac:dyDescent="0.2">
      <c r="A697" s="57"/>
      <c r="B697" s="57"/>
      <c r="C697" s="57"/>
      <c r="D697" s="57"/>
      <c r="E697" s="57"/>
      <c r="F697" s="57"/>
      <c r="G697" s="57"/>
      <c r="H697" s="57"/>
      <c r="I697" s="57"/>
      <c r="J697" s="57"/>
      <c r="L697" s="57"/>
      <c r="M697" s="57"/>
      <c r="N697" s="57"/>
      <c r="O697" s="57"/>
      <c r="P697" s="57"/>
      <c r="Q697" s="57"/>
      <c r="R697" s="57"/>
      <c r="S697" s="57"/>
      <c r="T697" s="57"/>
      <c r="U697" s="57"/>
      <c r="V697" s="57"/>
      <c r="W697" s="57"/>
      <c r="X697" s="57"/>
      <c r="Y697" s="98"/>
      <c r="AA697" s="98"/>
      <c r="AR697" s="98"/>
      <c r="AS697" s="57"/>
      <c r="AU697" s="57"/>
      <c r="BF697" s="98"/>
      <c r="BG697" s="98"/>
      <c r="BH697" s="98"/>
      <c r="BI697" s="98"/>
      <c r="BJ697" s="98"/>
      <c r="BK697" s="98"/>
      <c r="BL697" s="98"/>
      <c r="BM697" s="57"/>
    </row>
    <row r="698" spans="1:65" ht="11.25" x14ac:dyDescent="0.2">
      <c r="A698" s="57"/>
      <c r="B698" s="57"/>
      <c r="C698" s="57"/>
      <c r="D698" s="57"/>
      <c r="E698" s="57"/>
      <c r="F698" s="57"/>
      <c r="G698" s="57"/>
      <c r="H698" s="57"/>
      <c r="I698" s="57"/>
      <c r="J698" s="57"/>
      <c r="L698" s="57"/>
      <c r="M698" s="57"/>
      <c r="N698" s="57"/>
      <c r="O698" s="57"/>
      <c r="P698" s="57"/>
      <c r="Q698" s="57"/>
      <c r="R698" s="57"/>
      <c r="S698" s="57"/>
      <c r="T698" s="57"/>
      <c r="U698" s="57"/>
      <c r="V698" s="57"/>
      <c r="W698" s="57"/>
      <c r="X698" s="57"/>
      <c r="Y698" s="98"/>
      <c r="AA698" s="98"/>
      <c r="AR698" s="98"/>
      <c r="AS698" s="57"/>
      <c r="AU698" s="57"/>
      <c r="BF698" s="98"/>
      <c r="BG698" s="98"/>
      <c r="BH698" s="98"/>
      <c r="BI698" s="98"/>
      <c r="BJ698" s="98"/>
      <c r="BK698" s="98"/>
      <c r="BL698" s="98"/>
      <c r="BM698" s="57"/>
    </row>
    <row r="699" spans="1:65" ht="11.25" x14ac:dyDescent="0.2">
      <c r="A699" s="57"/>
      <c r="B699" s="57"/>
      <c r="C699" s="57"/>
      <c r="D699" s="57"/>
      <c r="E699" s="57"/>
      <c r="F699" s="57"/>
      <c r="G699" s="57"/>
      <c r="H699" s="57"/>
      <c r="I699" s="57"/>
      <c r="J699" s="57"/>
      <c r="L699" s="57"/>
      <c r="M699" s="57"/>
      <c r="N699" s="57"/>
      <c r="O699" s="57"/>
      <c r="P699" s="57"/>
      <c r="Q699" s="57"/>
      <c r="R699" s="57"/>
      <c r="S699" s="57"/>
      <c r="T699" s="57"/>
      <c r="U699" s="57"/>
      <c r="V699" s="57"/>
      <c r="W699" s="57"/>
      <c r="X699" s="57"/>
      <c r="Y699" s="98"/>
      <c r="AA699" s="98"/>
      <c r="AR699" s="98"/>
      <c r="AS699" s="57"/>
      <c r="AU699" s="57"/>
      <c r="BF699" s="98"/>
      <c r="BG699" s="98"/>
      <c r="BH699" s="98"/>
      <c r="BI699" s="98"/>
      <c r="BJ699" s="98"/>
      <c r="BK699" s="98"/>
      <c r="BL699" s="98"/>
      <c r="BM699" s="57"/>
    </row>
    <row r="700" spans="1:65" ht="11.25" x14ac:dyDescent="0.2">
      <c r="A700" s="57"/>
      <c r="B700" s="57"/>
      <c r="C700" s="57"/>
      <c r="D700" s="57"/>
      <c r="E700" s="57"/>
      <c r="F700" s="57"/>
      <c r="G700" s="57"/>
      <c r="H700" s="57"/>
      <c r="I700" s="57"/>
      <c r="J700" s="57"/>
      <c r="L700" s="57"/>
      <c r="M700" s="57"/>
      <c r="N700" s="57"/>
      <c r="O700" s="57"/>
      <c r="P700" s="57"/>
      <c r="Q700" s="57"/>
      <c r="R700" s="57"/>
      <c r="S700" s="57"/>
      <c r="T700" s="57"/>
      <c r="U700" s="57"/>
      <c r="V700" s="57"/>
      <c r="W700" s="57"/>
      <c r="X700" s="57"/>
      <c r="Y700" s="98"/>
      <c r="AA700" s="98"/>
      <c r="AR700" s="98"/>
      <c r="AS700" s="57"/>
      <c r="AU700" s="57"/>
      <c r="BF700" s="98"/>
      <c r="BG700" s="98"/>
      <c r="BH700" s="98"/>
      <c r="BI700" s="98"/>
      <c r="BJ700" s="98"/>
      <c r="BK700" s="98"/>
      <c r="BL700" s="98"/>
      <c r="BM700" s="57"/>
    </row>
    <row r="701" spans="1:65" ht="11.25" x14ac:dyDescent="0.2">
      <c r="A701" s="57"/>
      <c r="B701" s="57"/>
      <c r="C701" s="57"/>
      <c r="D701" s="57"/>
      <c r="E701" s="57"/>
      <c r="F701" s="57"/>
      <c r="G701" s="57"/>
      <c r="H701" s="57"/>
      <c r="I701" s="57"/>
      <c r="J701" s="57"/>
      <c r="L701" s="57"/>
      <c r="M701" s="57"/>
      <c r="N701" s="57"/>
      <c r="O701" s="57"/>
      <c r="P701" s="57"/>
      <c r="Q701" s="57"/>
      <c r="R701" s="57"/>
      <c r="S701" s="57"/>
      <c r="T701" s="57"/>
      <c r="U701" s="57"/>
      <c r="V701" s="57"/>
      <c r="W701" s="57"/>
      <c r="X701" s="57"/>
      <c r="Y701" s="98"/>
      <c r="AA701" s="98"/>
      <c r="AR701" s="98"/>
      <c r="AS701" s="57"/>
      <c r="AU701" s="57"/>
      <c r="BF701" s="98"/>
      <c r="BG701" s="98"/>
      <c r="BH701" s="98"/>
      <c r="BI701" s="98"/>
      <c r="BJ701" s="98"/>
      <c r="BK701" s="98"/>
      <c r="BL701" s="98"/>
      <c r="BM701" s="57"/>
    </row>
    <row r="702" spans="1:65" ht="11.25" x14ac:dyDescent="0.2">
      <c r="A702" s="57"/>
      <c r="B702" s="57"/>
      <c r="C702" s="57"/>
      <c r="D702" s="57"/>
      <c r="E702" s="57"/>
      <c r="F702" s="57"/>
      <c r="G702" s="57"/>
      <c r="H702" s="57"/>
      <c r="I702" s="57"/>
      <c r="J702" s="57"/>
      <c r="L702" s="57"/>
      <c r="M702" s="57"/>
      <c r="N702" s="57"/>
      <c r="O702" s="57"/>
      <c r="P702" s="57"/>
      <c r="Q702" s="57"/>
      <c r="R702" s="57"/>
      <c r="S702" s="57"/>
      <c r="T702" s="57"/>
      <c r="U702" s="57"/>
      <c r="V702" s="57"/>
      <c r="W702" s="57"/>
      <c r="X702" s="57"/>
      <c r="Y702" s="98"/>
      <c r="AA702" s="98"/>
      <c r="AR702" s="98"/>
      <c r="AS702" s="57"/>
      <c r="AU702" s="57"/>
      <c r="BF702" s="98"/>
      <c r="BG702" s="98"/>
      <c r="BH702" s="98"/>
      <c r="BI702" s="98"/>
      <c r="BJ702" s="98"/>
      <c r="BK702" s="98"/>
      <c r="BL702" s="98"/>
      <c r="BM702" s="57"/>
    </row>
    <row r="703" spans="1:65" ht="11.25" x14ac:dyDescent="0.2">
      <c r="A703" s="57"/>
      <c r="B703" s="57"/>
      <c r="C703" s="57"/>
      <c r="D703" s="57"/>
      <c r="E703" s="57"/>
      <c r="F703" s="57"/>
      <c r="G703" s="57"/>
      <c r="H703" s="57"/>
      <c r="I703" s="57"/>
      <c r="J703" s="57"/>
      <c r="L703" s="57"/>
      <c r="M703" s="57"/>
      <c r="N703" s="57"/>
      <c r="O703" s="57"/>
      <c r="P703" s="57"/>
      <c r="Q703" s="57"/>
      <c r="R703" s="57"/>
      <c r="S703" s="57"/>
      <c r="T703" s="57"/>
      <c r="U703" s="57"/>
      <c r="V703" s="57"/>
      <c r="W703" s="57"/>
      <c r="X703" s="57"/>
      <c r="Y703" s="98"/>
      <c r="AA703" s="98"/>
      <c r="AR703" s="98"/>
      <c r="AS703" s="57"/>
      <c r="AU703" s="57"/>
      <c r="BF703" s="98"/>
      <c r="BG703" s="98"/>
      <c r="BH703" s="98"/>
      <c r="BI703" s="98"/>
      <c r="BJ703" s="98"/>
      <c r="BK703" s="98"/>
      <c r="BL703" s="98"/>
      <c r="BM703" s="57"/>
    </row>
    <row r="704" spans="1:65" ht="11.25" x14ac:dyDescent="0.2">
      <c r="A704" s="57"/>
      <c r="B704" s="57"/>
      <c r="C704" s="57"/>
      <c r="D704" s="57"/>
      <c r="E704" s="57"/>
      <c r="F704" s="57"/>
      <c r="G704" s="57"/>
      <c r="H704" s="57"/>
      <c r="I704" s="57"/>
      <c r="J704" s="57"/>
      <c r="L704" s="57"/>
      <c r="M704" s="57"/>
      <c r="N704" s="57"/>
      <c r="O704" s="57"/>
      <c r="P704" s="57"/>
      <c r="Q704" s="57"/>
      <c r="R704" s="57"/>
      <c r="S704" s="57"/>
      <c r="T704" s="57"/>
      <c r="U704" s="57"/>
      <c r="V704" s="57"/>
      <c r="W704" s="57"/>
      <c r="X704" s="57"/>
      <c r="Y704" s="98"/>
      <c r="AA704" s="98"/>
      <c r="AR704" s="98"/>
      <c r="AS704" s="57"/>
      <c r="AU704" s="57"/>
      <c r="BF704" s="98"/>
      <c r="BG704" s="98"/>
      <c r="BH704" s="98"/>
      <c r="BI704" s="98"/>
      <c r="BJ704" s="98"/>
      <c r="BK704" s="98"/>
      <c r="BL704" s="98"/>
      <c r="BM704" s="57"/>
    </row>
    <row r="705" spans="1:65" ht="11.25" x14ac:dyDescent="0.2">
      <c r="A705" s="57"/>
      <c r="B705" s="57"/>
      <c r="C705" s="57"/>
      <c r="D705" s="57"/>
      <c r="E705" s="57"/>
      <c r="F705" s="57"/>
      <c r="G705" s="57"/>
      <c r="H705" s="57"/>
      <c r="I705" s="57"/>
      <c r="J705" s="57"/>
      <c r="L705" s="57"/>
      <c r="M705" s="57"/>
      <c r="N705" s="57"/>
      <c r="O705" s="57"/>
      <c r="P705" s="57"/>
      <c r="Q705" s="57"/>
      <c r="R705" s="57"/>
      <c r="S705" s="57"/>
      <c r="T705" s="57"/>
      <c r="U705" s="57"/>
      <c r="V705" s="57"/>
      <c r="W705" s="57"/>
      <c r="X705" s="57"/>
      <c r="Y705" s="98"/>
      <c r="AA705" s="98"/>
      <c r="AR705" s="98"/>
      <c r="AS705" s="57"/>
      <c r="AU705" s="57"/>
      <c r="BF705" s="98"/>
      <c r="BG705" s="98"/>
      <c r="BH705" s="98"/>
      <c r="BI705" s="98"/>
      <c r="BJ705" s="98"/>
      <c r="BK705" s="98"/>
      <c r="BL705" s="98"/>
      <c r="BM705" s="57"/>
    </row>
    <row r="706" spans="1:65" ht="11.25" x14ac:dyDescent="0.2">
      <c r="A706" s="57"/>
      <c r="B706" s="57"/>
      <c r="C706" s="57"/>
      <c r="D706" s="57"/>
      <c r="E706" s="57"/>
      <c r="F706" s="57"/>
      <c r="G706" s="57"/>
      <c r="H706" s="57"/>
      <c r="I706" s="57"/>
      <c r="J706" s="57"/>
      <c r="L706" s="57"/>
      <c r="M706" s="57"/>
      <c r="N706" s="57"/>
      <c r="O706" s="57"/>
      <c r="P706" s="57"/>
      <c r="Q706" s="57"/>
      <c r="R706" s="57"/>
      <c r="S706" s="57"/>
      <c r="T706" s="57"/>
      <c r="U706" s="57"/>
      <c r="V706" s="57"/>
      <c r="W706" s="57"/>
      <c r="X706" s="57"/>
      <c r="Y706" s="98"/>
      <c r="AA706" s="98"/>
      <c r="AR706" s="98"/>
      <c r="AS706" s="57"/>
      <c r="AU706" s="57"/>
      <c r="BF706" s="98"/>
      <c r="BG706" s="98"/>
      <c r="BH706" s="98"/>
      <c r="BI706" s="98"/>
      <c r="BJ706" s="98"/>
      <c r="BK706" s="98"/>
      <c r="BL706" s="98"/>
      <c r="BM706" s="57"/>
    </row>
    <row r="707" spans="1:65" ht="11.25" x14ac:dyDescent="0.2">
      <c r="A707" s="57"/>
      <c r="B707" s="57"/>
      <c r="C707" s="57"/>
      <c r="D707" s="57"/>
      <c r="E707" s="57"/>
      <c r="F707" s="57"/>
      <c r="G707" s="57"/>
      <c r="H707" s="57"/>
      <c r="I707" s="57"/>
      <c r="J707" s="57"/>
      <c r="L707" s="57"/>
      <c r="M707" s="57"/>
      <c r="N707" s="57"/>
      <c r="O707" s="57"/>
      <c r="P707" s="57"/>
      <c r="Q707" s="57"/>
      <c r="R707" s="57"/>
      <c r="S707" s="57"/>
      <c r="T707" s="57"/>
      <c r="U707" s="57"/>
      <c r="V707" s="57"/>
      <c r="W707" s="57"/>
      <c r="X707" s="57"/>
      <c r="Y707" s="98"/>
      <c r="AA707" s="98"/>
      <c r="AR707" s="98"/>
      <c r="AS707" s="57"/>
      <c r="AU707" s="57"/>
      <c r="BF707" s="98"/>
      <c r="BG707" s="98"/>
      <c r="BH707" s="98"/>
      <c r="BI707" s="98"/>
      <c r="BJ707" s="98"/>
      <c r="BK707" s="98"/>
      <c r="BL707" s="98"/>
      <c r="BM707" s="57"/>
    </row>
    <row r="708" spans="1:65" ht="11.25" x14ac:dyDescent="0.2">
      <c r="A708" s="57"/>
      <c r="B708" s="57"/>
      <c r="C708" s="57"/>
      <c r="D708" s="57"/>
      <c r="E708" s="57"/>
      <c r="F708" s="57"/>
      <c r="G708" s="57"/>
      <c r="H708" s="57"/>
      <c r="I708" s="57"/>
      <c r="J708" s="57"/>
      <c r="L708" s="57"/>
      <c r="M708" s="57"/>
      <c r="N708" s="57"/>
      <c r="O708" s="57"/>
      <c r="P708" s="57"/>
      <c r="Q708" s="57"/>
      <c r="R708" s="57"/>
      <c r="S708" s="57"/>
      <c r="T708" s="57"/>
      <c r="U708" s="57"/>
      <c r="V708" s="57"/>
      <c r="W708" s="57"/>
      <c r="X708" s="57"/>
      <c r="Y708" s="98"/>
      <c r="AA708" s="98"/>
      <c r="AR708" s="98"/>
      <c r="AS708" s="57"/>
      <c r="AU708" s="57"/>
      <c r="BF708" s="98"/>
      <c r="BG708" s="98"/>
      <c r="BH708" s="98"/>
      <c r="BI708" s="98"/>
      <c r="BJ708" s="98"/>
      <c r="BK708" s="98"/>
      <c r="BL708" s="98"/>
      <c r="BM708" s="57"/>
    </row>
    <row r="709" spans="1:65" ht="11.25" x14ac:dyDescent="0.2">
      <c r="A709" s="57"/>
      <c r="B709" s="57"/>
      <c r="C709" s="57"/>
      <c r="D709" s="57"/>
      <c r="E709" s="57"/>
      <c r="F709" s="57"/>
      <c r="G709" s="57"/>
      <c r="H709" s="57"/>
      <c r="I709" s="57"/>
      <c r="J709" s="57"/>
      <c r="L709" s="57"/>
      <c r="M709" s="57"/>
      <c r="N709" s="57"/>
      <c r="O709" s="57"/>
      <c r="P709" s="57"/>
      <c r="Q709" s="57"/>
      <c r="R709" s="57"/>
      <c r="S709" s="57"/>
      <c r="T709" s="57"/>
      <c r="U709" s="57"/>
      <c r="V709" s="57"/>
      <c r="W709" s="57"/>
      <c r="X709" s="57"/>
      <c r="Y709" s="98"/>
      <c r="AA709" s="98"/>
      <c r="AR709" s="98"/>
      <c r="AS709" s="57"/>
      <c r="AU709" s="57"/>
      <c r="BF709" s="98"/>
      <c r="BG709" s="98"/>
      <c r="BH709" s="98"/>
      <c r="BI709" s="98"/>
      <c r="BJ709" s="98"/>
      <c r="BK709" s="98"/>
      <c r="BL709" s="98"/>
      <c r="BM709" s="57"/>
    </row>
    <row r="710" spans="1:65" ht="11.25" x14ac:dyDescent="0.2">
      <c r="A710" s="57"/>
      <c r="B710" s="57"/>
      <c r="C710" s="57"/>
      <c r="D710" s="57"/>
      <c r="E710" s="57"/>
      <c r="F710" s="57"/>
      <c r="G710" s="57"/>
      <c r="H710" s="57"/>
      <c r="I710" s="57"/>
      <c r="J710" s="57"/>
      <c r="L710" s="57"/>
      <c r="M710" s="57"/>
      <c r="N710" s="57"/>
      <c r="O710" s="57"/>
      <c r="P710" s="57"/>
      <c r="Q710" s="57"/>
      <c r="R710" s="57"/>
      <c r="S710" s="57"/>
      <c r="T710" s="57"/>
      <c r="U710" s="57"/>
      <c r="V710" s="57"/>
      <c r="W710" s="57"/>
      <c r="X710" s="57"/>
      <c r="Y710" s="98"/>
      <c r="AA710" s="98"/>
      <c r="AR710" s="98"/>
      <c r="AS710" s="57"/>
      <c r="AU710" s="57"/>
      <c r="BF710" s="98"/>
      <c r="BG710" s="98"/>
      <c r="BH710" s="98"/>
      <c r="BI710" s="98"/>
      <c r="BJ710" s="98"/>
      <c r="BK710" s="98"/>
      <c r="BL710" s="98"/>
      <c r="BM710" s="57"/>
    </row>
    <row r="711" spans="1:65" ht="11.25" x14ac:dyDescent="0.2">
      <c r="A711" s="57"/>
      <c r="B711" s="57"/>
      <c r="C711" s="57"/>
      <c r="D711" s="57"/>
      <c r="E711" s="57"/>
      <c r="F711" s="57"/>
      <c r="G711" s="57"/>
      <c r="H711" s="57"/>
      <c r="I711" s="57"/>
      <c r="J711" s="57"/>
      <c r="L711" s="57"/>
      <c r="M711" s="57"/>
      <c r="N711" s="57"/>
      <c r="O711" s="57"/>
      <c r="P711" s="57"/>
      <c r="Q711" s="57"/>
      <c r="R711" s="57"/>
      <c r="S711" s="57"/>
      <c r="T711" s="57"/>
      <c r="U711" s="57"/>
      <c r="V711" s="57"/>
      <c r="W711" s="57"/>
      <c r="X711" s="57"/>
      <c r="Y711" s="98"/>
      <c r="AA711" s="98"/>
      <c r="AR711" s="98"/>
      <c r="AS711" s="57"/>
      <c r="AU711" s="57"/>
      <c r="BF711" s="98"/>
      <c r="BG711" s="98"/>
      <c r="BH711" s="98"/>
      <c r="BI711" s="98"/>
      <c r="BJ711" s="98"/>
      <c r="BK711" s="98"/>
      <c r="BL711" s="98"/>
      <c r="BM711" s="57"/>
    </row>
    <row r="712" spans="1:65" ht="11.25" x14ac:dyDescent="0.2">
      <c r="A712" s="57"/>
      <c r="B712" s="57"/>
      <c r="C712" s="57"/>
      <c r="D712" s="57"/>
      <c r="E712" s="57"/>
      <c r="F712" s="57"/>
      <c r="G712" s="57"/>
      <c r="H712" s="57"/>
      <c r="I712" s="57"/>
      <c r="J712" s="57"/>
      <c r="L712" s="57"/>
      <c r="M712" s="57"/>
      <c r="N712" s="57"/>
      <c r="O712" s="57"/>
      <c r="P712" s="57"/>
      <c r="Q712" s="57"/>
      <c r="R712" s="57"/>
      <c r="S712" s="57"/>
      <c r="T712" s="57"/>
      <c r="U712" s="57"/>
      <c r="V712" s="57"/>
      <c r="W712" s="57"/>
      <c r="X712" s="57"/>
      <c r="Y712" s="98"/>
      <c r="AA712" s="98"/>
      <c r="AR712" s="98"/>
      <c r="AS712" s="57"/>
      <c r="AU712" s="57"/>
      <c r="BF712" s="98"/>
      <c r="BG712" s="98"/>
      <c r="BH712" s="98"/>
      <c r="BI712" s="98"/>
      <c r="BJ712" s="98"/>
      <c r="BK712" s="98"/>
      <c r="BL712" s="98"/>
      <c r="BM712" s="57"/>
    </row>
    <row r="713" spans="1:65" ht="11.25" x14ac:dyDescent="0.2">
      <c r="A713" s="57"/>
      <c r="B713" s="57"/>
      <c r="C713" s="57"/>
      <c r="D713" s="57"/>
      <c r="E713" s="57"/>
      <c r="F713" s="57"/>
      <c r="G713" s="57"/>
      <c r="H713" s="57"/>
      <c r="I713" s="57"/>
      <c r="J713" s="57"/>
      <c r="L713" s="57"/>
      <c r="M713" s="57"/>
      <c r="N713" s="57"/>
      <c r="O713" s="57"/>
      <c r="P713" s="57"/>
      <c r="Q713" s="57"/>
      <c r="R713" s="57"/>
      <c r="S713" s="57"/>
      <c r="T713" s="57"/>
      <c r="U713" s="57"/>
      <c r="V713" s="57"/>
      <c r="W713" s="57"/>
      <c r="X713" s="57"/>
      <c r="Y713" s="98"/>
      <c r="AA713" s="98"/>
      <c r="AR713" s="98"/>
      <c r="AS713" s="57"/>
      <c r="AU713" s="57"/>
      <c r="BF713" s="98"/>
      <c r="BG713" s="98"/>
      <c r="BH713" s="98"/>
      <c r="BI713" s="98"/>
      <c r="BJ713" s="98"/>
      <c r="BK713" s="98"/>
      <c r="BL713" s="98"/>
      <c r="BM713" s="57"/>
    </row>
    <row r="714" spans="1:65" ht="11.25" x14ac:dyDescent="0.2">
      <c r="A714" s="57"/>
      <c r="B714" s="57"/>
      <c r="C714" s="57"/>
      <c r="D714" s="57"/>
      <c r="E714" s="57"/>
      <c r="F714" s="57"/>
      <c r="G714" s="57"/>
      <c r="H714" s="57"/>
      <c r="I714" s="57"/>
      <c r="J714" s="57"/>
      <c r="L714" s="57"/>
      <c r="M714" s="57"/>
      <c r="N714" s="57"/>
      <c r="O714" s="57"/>
      <c r="P714" s="57"/>
      <c r="Q714" s="57"/>
      <c r="R714" s="57"/>
      <c r="S714" s="57"/>
      <c r="T714" s="57"/>
      <c r="U714" s="57"/>
      <c r="V714" s="57"/>
      <c r="W714" s="57"/>
      <c r="X714" s="57"/>
      <c r="Y714" s="98"/>
      <c r="AA714" s="98"/>
      <c r="AR714" s="98"/>
      <c r="AS714" s="57"/>
      <c r="AU714" s="57"/>
      <c r="BF714" s="98"/>
      <c r="BG714" s="98"/>
      <c r="BH714" s="98"/>
      <c r="BI714" s="98"/>
      <c r="BJ714" s="98"/>
      <c r="BK714" s="98"/>
      <c r="BL714" s="98"/>
      <c r="BM714" s="57"/>
    </row>
    <row r="715" spans="1:65" ht="11.25" x14ac:dyDescent="0.2">
      <c r="A715" s="57"/>
      <c r="B715" s="57"/>
      <c r="C715" s="57"/>
      <c r="D715" s="57"/>
      <c r="E715" s="57"/>
      <c r="F715" s="57"/>
      <c r="G715" s="57"/>
      <c r="H715" s="57"/>
      <c r="I715" s="57"/>
      <c r="J715" s="57"/>
      <c r="L715" s="57"/>
      <c r="M715" s="57"/>
      <c r="N715" s="57"/>
      <c r="O715" s="57"/>
      <c r="P715" s="57"/>
      <c r="Q715" s="57"/>
      <c r="R715" s="57"/>
      <c r="S715" s="57"/>
      <c r="T715" s="57"/>
      <c r="U715" s="57"/>
      <c r="V715" s="57"/>
      <c r="W715" s="57"/>
      <c r="X715" s="57"/>
      <c r="Y715" s="98"/>
      <c r="AA715" s="98"/>
      <c r="AR715" s="98"/>
      <c r="AS715" s="57"/>
      <c r="AU715" s="57"/>
      <c r="BF715" s="98"/>
      <c r="BG715" s="98"/>
      <c r="BH715" s="98"/>
      <c r="BI715" s="98"/>
      <c r="BJ715" s="98"/>
      <c r="BK715" s="98"/>
      <c r="BL715" s="98"/>
      <c r="BM715" s="57"/>
    </row>
    <row r="716" spans="1:65" ht="11.25" x14ac:dyDescent="0.2">
      <c r="A716" s="57"/>
      <c r="B716" s="57"/>
      <c r="C716" s="57"/>
      <c r="D716" s="57"/>
      <c r="E716" s="57"/>
      <c r="F716" s="57"/>
      <c r="G716" s="57"/>
      <c r="H716" s="57"/>
      <c r="I716" s="57"/>
      <c r="J716" s="57"/>
      <c r="L716" s="57"/>
      <c r="M716" s="57"/>
      <c r="N716" s="57"/>
      <c r="O716" s="57"/>
      <c r="P716" s="57"/>
      <c r="Q716" s="57"/>
      <c r="R716" s="57"/>
      <c r="S716" s="57"/>
      <c r="T716" s="57"/>
      <c r="U716" s="57"/>
      <c r="V716" s="57"/>
      <c r="W716" s="57"/>
      <c r="X716" s="57"/>
      <c r="Y716" s="98"/>
      <c r="AA716" s="98"/>
      <c r="AR716" s="98"/>
      <c r="AS716" s="57"/>
      <c r="AU716" s="57"/>
      <c r="BF716" s="98"/>
      <c r="BG716" s="98"/>
      <c r="BH716" s="98"/>
      <c r="BI716" s="98"/>
      <c r="BJ716" s="98"/>
      <c r="BK716" s="98"/>
      <c r="BL716" s="98"/>
      <c r="BM716" s="57"/>
    </row>
    <row r="717" spans="1:65" ht="11.25" x14ac:dyDescent="0.2">
      <c r="A717" s="57"/>
      <c r="B717" s="57"/>
      <c r="C717" s="57"/>
      <c r="D717" s="57"/>
      <c r="E717" s="57"/>
      <c r="F717" s="57"/>
      <c r="G717" s="57"/>
      <c r="H717" s="57"/>
      <c r="I717" s="57"/>
      <c r="J717" s="57"/>
      <c r="L717" s="57"/>
      <c r="M717" s="57"/>
      <c r="N717" s="57"/>
      <c r="O717" s="57"/>
      <c r="P717" s="57"/>
      <c r="Q717" s="57"/>
      <c r="R717" s="57"/>
      <c r="S717" s="57"/>
      <c r="T717" s="57"/>
      <c r="U717" s="57"/>
      <c r="V717" s="57"/>
      <c r="W717" s="57"/>
      <c r="X717" s="57"/>
      <c r="Y717" s="98"/>
      <c r="AA717" s="98"/>
      <c r="AR717" s="98"/>
      <c r="AS717" s="57"/>
      <c r="AU717" s="57"/>
      <c r="BF717" s="98"/>
      <c r="BG717" s="98"/>
      <c r="BH717" s="98"/>
      <c r="BI717" s="98"/>
      <c r="BJ717" s="98"/>
      <c r="BK717" s="98"/>
      <c r="BL717" s="98"/>
      <c r="BM717" s="57"/>
    </row>
    <row r="718" spans="1:65" ht="11.25" x14ac:dyDescent="0.2">
      <c r="A718" s="57"/>
      <c r="B718" s="57"/>
      <c r="C718" s="57"/>
      <c r="D718" s="57"/>
      <c r="E718" s="57"/>
      <c r="F718" s="57"/>
      <c r="G718" s="57"/>
      <c r="H718" s="57"/>
      <c r="I718" s="57"/>
      <c r="J718" s="57"/>
      <c r="L718" s="57"/>
      <c r="M718" s="57"/>
      <c r="N718" s="57"/>
      <c r="O718" s="57"/>
      <c r="P718" s="57"/>
      <c r="Q718" s="57"/>
      <c r="R718" s="57"/>
      <c r="S718" s="57"/>
      <c r="T718" s="57"/>
      <c r="U718" s="57"/>
      <c r="V718" s="57"/>
      <c r="W718" s="57"/>
      <c r="X718" s="57"/>
      <c r="Y718" s="98"/>
      <c r="AA718" s="98"/>
      <c r="AR718" s="98"/>
      <c r="AS718" s="57"/>
      <c r="AU718" s="57"/>
      <c r="BF718" s="98"/>
      <c r="BG718" s="98"/>
      <c r="BH718" s="98"/>
      <c r="BI718" s="98"/>
      <c r="BJ718" s="98"/>
      <c r="BK718" s="98"/>
      <c r="BL718" s="98"/>
      <c r="BM718" s="57"/>
    </row>
    <row r="719" spans="1:65" ht="11.25" x14ac:dyDescent="0.2">
      <c r="A719" s="57"/>
      <c r="B719" s="57"/>
      <c r="C719" s="57"/>
      <c r="D719" s="57"/>
      <c r="E719" s="57"/>
      <c r="F719" s="57"/>
      <c r="G719" s="57"/>
      <c r="H719" s="57"/>
      <c r="I719" s="57"/>
      <c r="J719" s="57"/>
      <c r="L719" s="57"/>
      <c r="M719" s="57"/>
      <c r="N719" s="57"/>
      <c r="O719" s="57"/>
      <c r="P719" s="57"/>
      <c r="Q719" s="57"/>
      <c r="R719" s="57"/>
      <c r="S719" s="57"/>
      <c r="T719" s="57"/>
      <c r="U719" s="57"/>
      <c r="V719" s="57"/>
      <c r="W719" s="57"/>
      <c r="X719" s="57"/>
      <c r="Y719" s="98"/>
      <c r="AA719" s="98"/>
      <c r="AR719" s="98"/>
      <c r="AS719" s="57"/>
      <c r="AU719" s="57"/>
      <c r="BF719" s="98"/>
      <c r="BG719" s="98"/>
      <c r="BH719" s="98"/>
      <c r="BI719" s="98"/>
      <c r="BJ719" s="98"/>
      <c r="BK719" s="98"/>
      <c r="BL719" s="98"/>
      <c r="BM719" s="57"/>
    </row>
    <row r="720" spans="1:65" ht="11.25" x14ac:dyDescent="0.2">
      <c r="A720" s="57"/>
      <c r="B720" s="57"/>
      <c r="C720" s="57"/>
      <c r="D720" s="57"/>
      <c r="E720" s="57"/>
      <c r="F720" s="57"/>
      <c r="G720" s="57"/>
      <c r="H720" s="57"/>
      <c r="I720" s="57"/>
      <c r="J720" s="57"/>
      <c r="L720" s="57"/>
      <c r="M720" s="57"/>
      <c r="N720" s="57"/>
      <c r="O720" s="57"/>
      <c r="P720" s="57"/>
      <c r="Q720" s="57"/>
      <c r="R720" s="57"/>
      <c r="S720" s="57"/>
      <c r="T720" s="57"/>
      <c r="U720" s="57"/>
      <c r="V720" s="57"/>
      <c r="W720" s="57"/>
      <c r="X720" s="57"/>
      <c r="Y720" s="98"/>
      <c r="AA720" s="98"/>
      <c r="AR720" s="98"/>
      <c r="AS720" s="57"/>
      <c r="AU720" s="57"/>
      <c r="BF720" s="98"/>
      <c r="BG720" s="98"/>
      <c r="BH720" s="98"/>
      <c r="BI720" s="98"/>
      <c r="BJ720" s="98"/>
      <c r="BK720" s="98"/>
      <c r="BL720" s="98"/>
      <c r="BM720" s="57"/>
    </row>
    <row r="721" spans="1:65" ht="11.25" x14ac:dyDescent="0.2">
      <c r="A721" s="57"/>
      <c r="B721" s="57"/>
      <c r="C721" s="57"/>
      <c r="D721" s="57"/>
      <c r="E721" s="57"/>
      <c r="F721" s="57"/>
      <c r="G721" s="57"/>
      <c r="H721" s="57"/>
      <c r="I721" s="57"/>
      <c r="J721" s="57"/>
      <c r="L721" s="57"/>
      <c r="M721" s="57"/>
      <c r="N721" s="57"/>
      <c r="O721" s="57"/>
      <c r="P721" s="57"/>
      <c r="Q721" s="57"/>
      <c r="R721" s="57"/>
      <c r="S721" s="57"/>
      <c r="T721" s="57"/>
      <c r="U721" s="57"/>
      <c r="V721" s="57"/>
      <c r="W721" s="57"/>
      <c r="X721" s="57"/>
      <c r="Y721" s="98"/>
      <c r="AA721" s="98"/>
      <c r="AR721" s="98"/>
      <c r="AS721" s="57"/>
      <c r="AU721" s="57"/>
      <c r="BF721" s="98"/>
      <c r="BG721" s="98"/>
      <c r="BH721" s="98"/>
      <c r="BI721" s="98"/>
      <c r="BJ721" s="98"/>
      <c r="BK721" s="98"/>
      <c r="BL721" s="98"/>
      <c r="BM721" s="57"/>
    </row>
    <row r="722" spans="1:65" ht="11.25" x14ac:dyDescent="0.2">
      <c r="A722" s="57"/>
      <c r="B722" s="57"/>
      <c r="C722" s="57"/>
      <c r="D722" s="57"/>
      <c r="E722" s="57"/>
      <c r="F722" s="57"/>
      <c r="G722" s="57"/>
      <c r="H722" s="57"/>
      <c r="I722" s="57"/>
      <c r="J722" s="57"/>
      <c r="L722" s="57"/>
      <c r="M722" s="57"/>
      <c r="N722" s="57"/>
      <c r="O722" s="57"/>
      <c r="P722" s="57"/>
      <c r="Q722" s="57"/>
      <c r="R722" s="57"/>
      <c r="S722" s="57"/>
      <c r="T722" s="57"/>
      <c r="U722" s="57"/>
      <c r="V722" s="57"/>
      <c r="W722" s="57"/>
      <c r="X722" s="57"/>
      <c r="Y722" s="98"/>
      <c r="AA722" s="98"/>
      <c r="AR722" s="98"/>
      <c r="AS722" s="57"/>
      <c r="AU722" s="57"/>
      <c r="BF722" s="98"/>
      <c r="BG722" s="98"/>
      <c r="BH722" s="98"/>
      <c r="BI722" s="98"/>
      <c r="BJ722" s="98"/>
      <c r="BK722" s="98"/>
      <c r="BL722" s="98"/>
      <c r="BM722" s="57"/>
    </row>
    <row r="723" spans="1:65" ht="11.25" x14ac:dyDescent="0.2">
      <c r="A723" s="57"/>
      <c r="B723" s="57"/>
      <c r="C723" s="57"/>
      <c r="D723" s="57"/>
      <c r="E723" s="57"/>
      <c r="F723" s="57"/>
      <c r="G723" s="57"/>
      <c r="H723" s="57"/>
      <c r="I723" s="57"/>
      <c r="J723" s="57"/>
      <c r="L723" s="57"/>
      <c r="M723" s="57"/>
      <c r="N723" s="57"/>
      <c r="O723" s="57"/>
      <c r="P723" s="57"/>
      <c r="Q723" s="57"/>
      <c r="R723" s="57"/>
      <c r="S723" s="57"/>
      <c r="T723" s="57"/>
      <c r="U723" s="57"/>
      <c r="V723" s="57"/>
      <c r="W723" s="57"/>
      <c r="X723" s="57"/>
      <c r="Y723" s="98"/>
      <c r="AA723" s="98"/>
      <c r="AR723" s="98"/>
      <c r="AS723" s="57"/>
      <c r="AU723" s="57"/>
      <c r="BF723" s="98"/>
      <c r="BG723" s="98"/>
      <c r="BH723" s="98"/>
      <c r="BI723" s="98"/>
      <c r="BJ723" s="98"/>
      <c r="BK723" s="98"/>
      <c r="BL723" s="98"/>
      <c r="BM723" s="57"/>
    </row>
    <row r="724" spans="1:65" ht="11.25" x14ac:dyDescent="0.2">
      <c r="A724" s="57"/>
      <c r="B724" s="57"/>
      <c r="C724" s="57"/>
      <c r="D724" s="57"/>
      <c r="E724" s="57"/>
      <c r="F724" s="57"/>
      <c r="G724" s="57"/>
      <c r="H724" s="57"/>
      <c r="I724" s="57"/>
      <c r="J724" s="57"/>
      <c r="L724" s="57"/>
      <c r="M724" s="57"/>
      <c r="N724" s="57"/>
      <c r="O724" s="57"/>
      <c r="P724" s="57"/>
      <c r="Q724" s="57"/>
      <c r="R724" s="57"/>
      <c r="S724" s="57"/>
      <c r="T724" s="57"/>
      <c r="U724" s="57"/>
      <c r="V724" s="57"/>
      <c r="W724" s="57"/>
      <c r="X724" s="57"/>
      <c r="Y724" s="98"/>
      <c r="AA724" s="98"/>
      <c r="AR724" s="98"/>
      <c r="AS724" s="57"/>
      <c r="AU724" s="57"/>
      <c r="BF724" s="98"/>
      <c r="BG724" s="98"/>
      <c r="BH724" s="98"/>
      <c r="BI724" s="98"/>
      <c r="BJ724" s="98"/>
      <c r="BK724" s="98"/>
      <c r="BL724" s="98"/>
      <c r="BM724" s="57"/>
    </row>
    <row r="725" spans="1:65" ht="11.25" x14ac:dyDescent="0.2">
      <c r="A725" s="57"/>
      <c r="B725" s="57"/>
      <c r="C725" s="57"/>
      <c r="D725" s="57"/>
      <c r="E725" s="57"/>
      <c r="F725" s="57"/>
      <c r="G725" s="57"/>
      <c r="H725" s="57"/>
      <c r="I725" s="57"/>
      <c r="J725" s="57"/>
      <c r="L725" s="57"/>
      <c r="M725" s="57"/>
      <c r="N725" s="57"/>
      <c r="O725" s="57"/>
      <c r="P725" s="57"/>
      <c r="Q725" s="57"/>
      <c r="R725" s="57"/>
      <c r="S725" s="57"/>
      <c r="T725" s="57"/>
      <c r="U725" s="57"/>
      <c r="V725" s="57"/>
      <c r="W725" s="57"/>
      <c r="X725" s="57"/>
      <c r="Y725" s="98"/>
      <c r="AA725" s="98"/>
      <c r="AR725" s="98"/>
      <c r="AS725" s="57"/>
      <c r="AU725" s="57"/>
      <c r="BF725" s="98"/>
      <c r="BG725" s="98"/>
      <c r="BH725" s="98"/>
      <c r="BI725" s="98"/>
      <c r="BJ725" s="98"/>
      <c r="BK725" s="98"/>
      <c r="BL725" s="98"/>
      <c r="BM725" s="57"/>
    </row>
    <row r="726" spans="1:65" ht="11.25" x14ac:dyDescent="0.2">
      <c r="A726" s="57"/>
      <c r="B726" s="57"/>
      <c r="C726" s="57"/>
      <c r="D726" s="57"/>
      <c r="E726" s="57"/>
      <c r="F726" s="57"/>
      <c r="G726" s="57"/>
      <c r="H726" s="57"/>
      <c r="I726" s="57"/>
      <c r="J726" s="57"/>
      <c r="L726" s="57"/>
      <c r="M726" s="57"/>
      <c r="N726" s="57"/>
      <c r="O726" s="57"/>
      <c r="P726" s="57"/>
      <c r="Q726" s="57"/>
      <c r="R726" s="57"/>
      <c r="S726" s="57"/>
      <c r="T726" s="57"/>
      <c r="U726" s="57"/>
      <c r="V726" s="57"/>
      <c r="W726" s="57"/>
      <c r="X726" s="57"/>
      <c r="Y726" s="98"/>
      <c r="AA726" s="98"/>
      <c r="AR726" s="98"/>
      <c r="AS726" s="57"/>
      <c r="AU726" s="57"/>
      <c r="BF726" s="98"/>
      <c r="BG726" s="98"/>
      <c r="BH726" s="98"/>
      <c r="BI726" s="98"/>
      <c r="BJ726" s="98"/>
      <c r="BK726" s="98"/>
      <c r="BL726" s="98"/>
      <c r="BM726" s="57"/>
    </row>
    <row r="727" spans="1:65" ht="11.25" x14ac:dyDescent="0.2">
      <c r="A727" s="57"/>
      <c r="B727" s="57"/>
      <c r="C727" s="57"/>
      <c r="D727" s="57"/>
      <c r="E727" s="57"/>
      <c r="F727" s="57"/>
      <c r="G727" s="57"/>
      <c r="H727" s="57"/>
      <c r="I727" s="57"/>
      <c r="J727" s="57"/>
      <c r="L727" s="57"/>
      <c r="M727" s="57"/>
      <c r="N727" s="57"/>
      <c r="O727" s="57"/>
      <c r="P727" s="57"/>
      <c r="Q727" s="57"/>
      <c r="R727" s="57"/>
      <c r="S727" s="57"/>
      <c r="T727" s="57"/>
      <c r="U727" s="57"/>
      <c r="V727" s="57"/>
      <c r="W727" s="57"/>
      <c r="X727" s="57"/>
      <c r="Y727" s="98"/>
      <c r="AA727" s="98"/>
      <c r="AR727" s="98"/>
      <c r="AS727" s="57"/>
      <c r="AU727" s="57"/>
      <c r="BF727" s="98"/>
      <c r="BG727" s="98"/>
      <c r="BH727" s="98"/>
      <c r="BI727" s="98"/>
      <c r="BJ727" s="98"/>
      <c r="BK727" s="98"/>
      <c r="BL727" s="98"/>
      <c r="BM727" s="57"/>
    </row>
    <row r="728" spans="1:65" ht="11.25" x14ac:dyDescent="0.2">
      <c r="A728" s="57"/>
      <c r="B728" s="57"/>
      <c r="C728" s="57"/>
      <c r="D728" s="57"/>
      <c r="E728" s="57"/>
      <c r="F728" s="57"/>
      <c r="G728" s="57"/>
      <c r="H728" s="57"/>
      <c r="I728" s="57"/>
      <c r="J728" s="57"/>
      <c r="L728" s="57"/>
      <c r="M728" s="57"/>
      <c r="N728" s="57"/>
      <c r="O728" s="57"/>
      <c r="P728" s="57"/>
      <c r="Q728" s="57"/>
      <c r="R728" s="57"/>
      <c r="S728" s="57"/>
      <c r="T728" s="57"/>
      <c r="U728" s="57"/>
      <c r="V728" s="57"/>
      <c r="W728" s="57"/>
      <c r="X728" s="57"/>
      <c r="Y728" s="98"/>
      <c r="AA728" s="98"/>
      <c r="AR728" s="98"/>
      <c r="AS728" s="57"/>
      <c r="AU728" s="57"/>
      <c r="BF728" s="98"/>
      <c r="BG728" s="98"/>
      <c r="BH728" s="98"/>
      <c r="BI728" s="98"/>
      <c r="BJ728" s="98"/>
      <c r="BK728" s="98"/>
      <c r="BL728" s="98"/>
      <c r="BM728" s="57"/>
    </row>
    <row r="729" spans="1:65" ht="11.25" x14ac:dyDescent="0.2">
      <c r="A729" s="57"/>
      <c r="B729" s="57"/>
      <c r="C729" s="57"/>
      <c r="D729" s="57"/>
      <c r="E729" s="57"/>
      <c r="F729" s="57"/>
      <c r="G729" s="57"/>
      <c r="H729" s="57"/>
      <c r="I729" s="57"/>
      <c r="J729" s="57"/>
      <c r="L729" s="57"/>
      <c r="M729" s="57"/>
      <c r="N729" s="57"/>
      <c r="O729" s="57"/>
      <c r="P729" s="57"/>
      <c r="Q729" s="57"/>
      <c r="R729" s="57"/>
      <c r="S729" s="57"/>
      <c r="T729" s="57"/>
      <c r="U729" s="57"/>
      <c r="V729" s="57"/>
      <c r="W729" s="57"/>
      <c r="X729" s="57"/>
      <c r="Y729" s="98"/>
      <c r="AA729" s="98"/>
      <c r="AR729" s="98"/>
      <c r="AS729" s="57"/>
      <c r="AU729" s="57"/>
      <c r="BF729" s="98"/>
      <c r="BG729" s="98"/>
      <c r="BH729" s="98"/>
      <c r="BI729" s="98"/>
      <c r="BJ729" s="98"/>
      <c r="BK729" s="98"/>
      <c r="BL729" s="98"/>
      <c r="BM729" s="57"/>
    </row>
    <row r="730" spans="1:65" ht="11.25" x14ac:dyDescent="0.2">
      <c r="A730" s="57"/>
      <c r="B730" s="57"/>
      <c r="C730" s="57"/>
      <c r="D730" s="57"/>
      <c r="E730" s="57"/>
      <c r="F730" s="57"/>
      <c r="G730" s="57"/>
      <c r="H730" s="57"/>
      <c r="I730" s="57"/>
      <c r="J730" s="57"/>
      <c r="L730" s="57"/>
      <c r="M730" s="57"/>
      <c r="N730" s="57"/>
      <c r="O730" s="57"/>
      <c r="P730" s="57"/>
      <c r="Q730" s="57"/>
      <c r="R730" s="57"/>
      <c r="S730" s="57"/>
      <c r="T730" s="57"/>
      <c r="U730" s="57"/>
      <c r="V730" s="57"/>
      <c r="W730" s="57"/>
      <c r="X730" s="57"/>
      <c r="Y730" s="98"/>
      <c r="AA730" s="98"/>
      <c r="AR730" s="98"/>
      <c r="AS730" s="57"/>
      <c r="AU730" s="57"/>
      <c r="BF730" s="98"/>
      <c r="BG730" s="98"/>
      <c r="BH730" s="98"/>
      <c r="BI730" s="98"/>
      <c r="BJ730" s="98"/>
      <c r="BK730" s="98"/>
      <c r="BL730" s="98"/>
      <c r="BM730" s="57"/>
    </row>
    <row r="731" spans="1:65" ht="11.25" x14ac:dyDescent="0.2">
      <c r="A731" s="57"/>
      <c r="B731" s="57"/>
      <c r="C731" s="57"/>
      <c r="D731" s="57"/>
      <c r="E731" s="57"/>
      <c r="F731" s="57"/>
      <c r="G731" s="57"/>
      <c r="H731" s="57"/>
      <c r="I731" s="57"/>
      <c r="J731" s="57"/>
      <c r="L731" s="57"/>
      <c r="M731" s="57"/>
      <c r="N731" s="57"/>
      <c r="O731" s="57"/>
      <c r="P731" s="57"/>
      <c r="Q731" s="57"/>
      <c r="R731" s="57"/>
      <c r="S731" s="57"/>
      <c r="T731" s="57"/>
      <c r="U731" s="57"/>
      <c r="V731" s="57"/>
      <c r="W731" s="57"/>
      <c r="X731" s="57"/>
      <c r="Y731" s="98"/>
      <c r="AA731" s="98"/>
      <c r="AR731" s="98"/>
      <c r="AS731" s="57"/>
      <c r="AU731" s="57"/>
      <c r="BF731" s="98"/>
      <c r="BG731" s="98"/>
      <c r="BH731" s="98"/>
      <c r="BI731" s="98"/>
      <c r="BJ731" s="98"/>
      <c r="BK731" s="98"/>
      <c r="BL731" s="98"/>
      <c r="BM731" s="57"/>
    </row>
    <row r="732" spans="1:65" ht="11.25" x14ac:dyDescent="0.2">
      <c r="A732" s="57"/>
      <c r="B732" s="57"/>
      <c r="C732" s="57"/>
      <c r="D732" s="57"/>
      <c r="E732" s="57"/>
      <c r="F732" s="57"/>
      <c r="G732" s="57"/>
      <c r="H732" s="57"/>
      <c r="I732" s="57"/>
      <c r="J732" s="57"/>
      <c r="L732" s="57"/>
      <c r="M732" s="57"/>
      <c r="N732" s="57"/>
      <c r="O732" s="57"/>
      <c r="P732" s="57"/>
      <c r="Q732" s="57"/>
      <c r="R732" s="57"/>
      <c r="S732" s="57"/>
      <c r="T732" s="57"/>
      <c r="U732" s="57"/>
      <c r="V732" s="57"/>
      <c r="W732" s="57"/>
      <c r="X732" s="57"/>
      <c r="Y732" s="98"/>
      <c r="AA732" s="98"/>
      <c r="AR732" s="98"/>
      <c r="AS732" s="57"/>
      <c r="AU732" s="57"/>
      <c r="BF732" s="98"/>
      <c r="BG732" s="98"/>
      <c r="BH732" s="98"/>
      <c r="BI732" s="98"/>
      <c r="BJ732" s="98"/>
      <c r="BK732" s="98"/>
      <c r="BL732" s="98"/>
      <c r="BM732" s="57"/>
    </row>
    <row r="733" spans="1:65" ht="11.25" x14ac:dyDescent="0.2">
      <c r="A733" s="57"/>
      <c r="B733" s="57"/>
      <c r="C733" s="57"/>
      <c r="D733" s="57"/>
      <c r="E733" s="57"/>
      <c r="F733" s="57"/>
      <c r="G733" s="57"/>
      <c r="H733" s="57"/>
      <c r="I733" s="57"/>
      <c r="J733" s="57"/>
      <c r="L733" s="57"/>
      <c r="M733" s="57"/>
      <c r="N733" s="57"/>
      <c r="O733" s="57"/>
      <c r="P733" s="57"/>
      <c r="Q733" s="57"/>
      <c r="R733" s="57"/>
      <c r="S733" s="57"/>
      <c r="T733" s="57"/>
      <c r="U733" s="57"/>
      <c r="V733" s="57"/>
      <c r="W733" s="57"/>
      <c r="X733" s="57"/>
      <c r="Y733" s="98"/>
      <c r="AA733" s="98"/>
      <c r="AR733" s="98"/>
      <c r="AS733" s="57"/>
      <c r="AU733" s="57"/>
      <c r="BF733" s="98"/>
      <c r="BG733" s="98"/>
      <c r="BH733" s="98"/>
      <c r="BI733" s="98"/>
      <c r="BJ733" s="98"/>
      <c r="BK733" s="98"/>
      <c r="BL733" s="98"/>
      <c r="BM733" s="57"/>
    </row>
    <row r="734" spans="1:65" ht="11.25" x14ac:dyDescent="0.2">
      <c r="A734" s="57"/>
      <c r="B734" s="57"/>
      <c r="C734" s="57"/>
      <c r="D734" s="57"/>
      <c r="E734" s="57"/>
      <c r="F734" s="57"/>
      <c r="G734" s="57"/>
      <c r="H734" s="57"/>
      <c r="I734" s="57"/>
      <c r="J734" s="57"/>
      <c r="L734" s="57"/>
      <c r="M734" s="57"/>
      <c r="N734" s="57"/>
      <c r="O734" s="57"/>
      <c r="P734" s="57"/>
      <c r="Q734" s="57"/>
      <c r="R734" s="57"/>
      <c r="S734" s="57"/>
      <c r="T734" s="57"/>
      <c r="U734" s="57"/>
      <c r="V734" s="57"/>
      <c r="W734" s="57"/>
      <c r="X734" s="57"/>
      <c r="Y734" s="98"/>
      <c r="AA734" s="98"/>
      <c r="AR734" s="98"/>
      <c r="AS734" s="57"/>
      <c r="AU734" s="57"/>
      <c r="BF734" s="98"/>
      <c r="BG734" s="98"/>
      <c r="BH734" s="98"/>
      <c r="BI734" s="98"/>
      <c r="BJ734" s="98"/>
      <c r="BK734" s="98"/>
      <c r="BL734" s="98"/>
      <c r="BM734" s="57"/>
    </row>
    <row r="735" spans="1:65" ht="11.25" x14ac:dyDescent="0.2">
      <c r="A735" s="57"/>
      <c r="B735" s="57"/>
      <c r="C735" s="57"/>
      <c r="D735" s="57"/>
      <c r="E735" s="57"/>
      <c r="F735" s="57"/>
      <c r="G735" s="57"/>
      <c r="H735" s="57"/>
      <c r="I735" s="57"/>
      <c r="J735" s="57"/>
      <c r="L735" s="57"/>
      <c r="M735" s="57"/>
      <c r="N735" s="57"/>
      <c r="O735" s="57"/>
      <c r="P735" s="57"/>
      <c r="Q735" s="57"/>
      <c r="R735" s="57"/>
      <c r="S735" s="57"/>
      <c r="T735" s="57"/>
      <c r="U735" s="57"/>
      <c r="V735" s="57"/>
      <c r="W735" s="57"/>
      <c r="X735" s="57"/>
      <c r="Y735" s="98"/>
      <c r="AA735" s="98"/>
      <c r="AR735" s="98"/>
      <c r="AS735" s="57"/>
      <c r="AU735" s="57"/>
      <c r="BF735" s="98"/>
      <c r="BG735" s="98"/>
      <c r="BH735" s="98"/>
      <c r="BI735" s="98"/>
      <c r="BJ735" s="98"/>
      <c r="BK735" s="98"/>
      <c r="BL735" s="98"/>
      <c r="BM735" s="57"/>
    </row>
    <row r="736" spans="1:65" ht="11.25" x14ac:dyDescent="0.2">
      <c r="A736" s="57"/>
      <c r="B736" s="57"/>
      <c r="C736" s="57"/>
      <c r="D736" s="57"/>
      <c r="E736" s="57"/>
      <c r="F736" s="57"/>
      <c r="G736" s="57"/>
      <c r="H736" s="57"/>
      <c r="I736" s="57"/>
      <c r="J736" s="57"/>
      <c r="L736" s="57"/>
      <c r="M736" s="57"/>
      <c r="N736" s="57"/>
      <c r="O736" s="57"/>
      <c r="P736" s="57"/>
      <c r="Q736" s="57"/>
      <c r="R736" s="57"/>
      <c r="S736" s="57"/>
      <c r="T736" s="57"/>
      <c r="U736" s="57"/>
      <c r="V736" s="57"/>
      <c r="W736" s="57"/>
      <c r="X736" s="57"/>
      <c r="Y736" s="98"/>
      <c r="AA736" s="98"/>
      <c r="AR736" s="98"/>
      <c r="AS736" s="57"/>
      <c r="AU736" s="57"/>
      <c r="BF736" s="98"/>
      <c r="BG736" s="98"/>
      <c r="BH736" s="98"/>
      <c r="BI736" s="98"/>
      <c r="BJ736" s="98"/>
      <c r="BK736" s="98"/>
      <c r="BL736" s="98"/>
      <c r="BM736" s="57"/>
    </row>
    <row r="737" spans="1:65" ht="11.25" x14ac:dyDescent="0.2">
      <c r="A737" s="57"/>
      <c r="B737" s="57"/>
      <c r="C737" s="57"/>
      <c r="D737" s="57"/>
      <c r="E737" s="57"/>
      <c r="F737" s="57"/>
      <c r="G737" s="57"/>
      <c r="H737" s="57"/>
      <c r="I737" s="57"/>
      <c r="J737" s="57"/>
      <c r="L737" s="57"/>
      <c r="M737" s="57"/>
      <c r="N737" s="57"/>
      <c r="O737" s="57"/>
      <c r="P737" s="57"/>
      <c r="Q737" s="57"/>
      <c r="R737" s="57"/>
      <c r="S737" s="57"/>
      <c r="T737" s="57"/>
      <c r="U737" s="57"/>
      <c r="V737" s="57"/>
      <c r="W737" s="57"/>
      <c r="X737" s="57"/>
      <c r="Y737" s="98"/>
      <c r="AA737" s="98"/>
      <c r="AR737" s="98"/>
      <c r="AS737" s="57"/>
      <c r="AU737" s="57"/>
      <c r="BF737" s="98"/>
      <c r="BG737" s="98"/>
      <c r="BH737" s="98"/>
      <c r="BI737" s="98"/>
      <c r="BJ737" s="98"/>
      <c r="BK737" s="98"/>
      <c r="BL737" s="98"/>
      <c r="BM737" s="57"/>
    </row>
    <row r="738" spans="1:65" ht="11.25" x14ac:dyDescent="0.2">
      <c r="A738" s="57"/>
      <c r="B738" s="57"/>
      <c r="C738" s="57"/>
      <c r="D738" s="57"/>
      <c r="E738" s="57"/>
      <c r="F738" s="57"/>
      <c r="G738" s="57"/>
      <c r="H738" s="57"/>
      <c r="I738" s="57"/>
      <c r="J738" s="57"/>
      <c r="L738" s="57"/>
      <c r="M738" s="57"/>
      <c r="N738" s="57"/>
      <c r="O738" s="57"/>
      <c r="P738" s="57"/>
      <c r="Q738" s="57"/>
      <c r="R738" s="57"/>
      <c r="S738" s="57"/>
      <c r="T738" s="57"/>
      <c r="U738" s="57"/>
      <c r="V738" s="57"/>
      <c r="W738" s="57"/>
      <c r="X738" s="57"/>
      <c r="Y738" s="98"/>
      <c r="AA738" s="98"/>
      <c r="AR738" s="98"/>
      <c r="AS738" s="57"/>
      <c r="AU738" s="57"/>
      <c r="BF738" s="98"/>
      <c r="BG738" s="98"/>
      <c r="BH738" s="98"/>
      <c r="BI738" s="98"/>
      <c r="BJ738" s="98"/>
      <c r="BK738" s="98"/>
      <c r="BL738" s="98"/>
      <c r="BM738" s="57"/>
    </row>
    <row r="739" spans="1:65" ht="11.25" x14ac:dyDescent="0.2">
      <c r="A739" s="57"/>
      <c r="B739" s="57"/>
      <c r="C739" s="57"/>
      <c r="D739" s="57"/>
      <c r="E739" s="57"/>
      <c r="F739" s="57"/>
      <c r="G739" s="57"/>
      <c r="H739" s="57"/>
      <c r="I739" s="57"/>
      <c r="J739" s="57"/>
      <c r="L739" s="57"/>
      <c r="M739" s="57"/>
      <c r="N739" s="57"/>
      <c r="O739" s="57"/>
      <c r="P739" s="57"/>
      <c r="Q739" s="57"/>
      <c r="R739" s="57"/>
      <c r="S739" s="57"/>
      <c r="T739" s="57"/>
      <c r="U739" s="57"/>
      <c r="V739" s="57"/>
      <c r="W739" s="57"/>
      <c r="X739" s="57"/>
      <c r="Y739" s="98"/>
      <c r="AA739" s="98"/>
      <c r="AR739" s="98"/>
      <c r="AS739" s="57"/>
      <c r="AU739" s="57"/>
      <c r="BF739" s="98"/>
      <c r="BG739" s="98"/>
      <c r="BH739" s="98"/>
      <c r="BI739" s="98"/>
      <c r="BJ739" s="98"/>
      <c r="BK739" s="98"/>
      <c r="BL739" s="98"/>
      <c r="BM739" s="57"/>
    </row>
    <row r="740" spans="1:65" ht="11.25" x14ac:dyDescent="0.2">
      <c r="A740" s="57"/>
      <c r="B740" s="57"/>
      <c r="C740" s="57"/>
      <c r="D740" s="57"/>
      <c r="E740" s="57"/>
      <c r="F740" s="57"/>
      <c r="G740" s="57"/>
      <c r="H740" s="57"/>
      <c r="I740" s="57"/>
      <c r="J740" s="57"/>
      <c r="L740" s="57"/>
      <c r="M740" s="57"/>
      <c r="N740" s="57"/>
      <c r="O740" s="57"/>
      <c r="P740" s="57"/>
      <c r="Q740" s="57"/>
      <c r="R740" s="57"/>
      <c r="S740" s="57"/>
      <c r="T740" s="57"/>
      <c r="U740" s="57"/>
      <c r="V740" s="57"/>
      <c r="W740" s="57"/>
      <c r="X740" s="57"/>
      <c r="Y740" s="98"/>
      <c r="AA740" s="98"/>
      <c r="AR740" s="98"/>
      <c r="AS740" s="57"/>
      <c r="AU740" s="57"/>
      <c r="BF740" s="98"/>
      <c r="BG740" s="98"/>
      <c r="BH740" s="98"/>
      <c r="BI740" s="98"/>
      <c r="BJ740" s="98"/>
      <c r="BK740" s="98"/>
      <c r="BL740" s="98"/>
      <c r="BM740" s="57"/>
    </row>
    <row r="741" spans="1:65" ht="11.25" x14ac:dyDescent="0.2">
      <c r="A741" s="57"/>
      <c r="B741" s="57"/>
      <c r="C741" s="57"/>
      <c r="D741" s="57"/>
      <c r="E741" s="57"/>
      <c r="F741" s="57"/>
      <c r="G741" s="57"/>
      <c r="H741" s="57"/>
      <c r="I741" s="57"/>
      <c r="J741" s="57"/>
      <c r="L741" s="57"/>
      <c r="M741" s="57"/>
      <c r="N741" s="57"/>
      <c r="O741" s="57"/>
      <c r="P741" s="57"/>
      <c r="Q741" s="57"/>
      <c r="R741" s="57"/>
      <c r="S741" s="57"/>
      <c r="T741" s="57"/>
      <c r="U741" s="57"/>
      <c r="V741" s="57"/>
      <c r="W741" s="57"/>
      <c r="X741" s="57"/>
      <c r="Y741" s="98"/>
      <c r="AA741" s="98"/>
      <c r="AR741" s="98"/>
      <c r="AS741" s="57"/>
      <c r="AU741" s="57"/>
      <c r="BF741" s="98"/>
      <c r="BG741" s="98"/>
      <c r="BH741" s="98"/>
      <c r="BI741" s="98"/>
      <c r="BJ741" s="98"/>
      <c r="BK741" s="98"/>
      <c r="BL741" s="98"/>
      <c r="BM741" s="57"/>
    </row>
    <row r="742" spans="1:65" ht="11.25" x14ac:dyDescent="0.2">
      <c r="A742" s="57"/>
      <c r="B742" s="57"/>
      <c r="C742" s="57"/>
      <c r="D742" s="57"/>
      <c r="E742" s="57"/>
      <c r="F742" s="57"/>
      <c r="G742" s="57"/>
      <c r="H742" s="57"/>
      <c r="I742" s="57"/>
      <c r="J742" s="57"/>
      <c r="L742" s="57"/>
      <c r="M742" s="57"/>
      <c r="N742" s="57"/>
      <c r="O742" s="57"/>
      <c r="P742" s="57"/>
      <c r="Q742" s="57"/>
      <c r="R742" s="57"/>
      <c r="S742" s="57"/>
      <c r="T742" s="57"/>
      <c r="U742" s="57"/>
      <c r="V742" s="57"/>
      <c r="W742" s="57"/>
      <c r="X742" s="57"/>
      <c r="Y742" s="98"/>
      <c r="AA742" s="98"/>
      <c r="AR742" s="98"/>
      <c r="AS742" s="57"/>
      <c r="AU742" s="57"/>
      <c r="BF742" s="98"/>
      <c r="BG742" s="98"/>
      <c r="BH742" s="98"/>
      <c r="BI742" s="98"/>
      <c r="BJ742" s="98"/>
      <c r="BK742" s="98"/>
      <c r="BL742" s="98"/>
      <c r="BM742" s="57"/>
    </row>
    <row r="743" spans="1:65" ht="11.25" x14ac:dyDescent="0.2">
      <c r="A743" s="57"/>
      <c r="B743" s="57"/>
      <c r="C743" s="57"/>
      <c r="D743" s="57"/>
      <c r="E743" s="57"/>
      <c r="F743" s="57"/>
      <c r="G743" s="57"/>
      <c r="H743" s="57"/>
      <c r="I743" s="57"/>
      <c r="J743" s="57"/>
      <c r="L743" s="57"/>
      <c r="M743" s="57"/>
      <c r="N743" s="57"/>
      <c r="O743" s="57"/>
      <c r="P743" s="57"/>
      <c r="Q743" s="57"/>
      <c r="R743" s="57"/>
      <c r="S743" s="57"/>
      <c r="T743" s="57"/>
      <c r="U743" s="57"/>
      <c r="V743" s="57"/>
      <c r="W743" s="57"/>
      <c r="X743" s="57"/>
      <c r="Y743" s="98"/>
      <c r="AA743" s="98"/>
      <c r="AR743" s="98"/>
      <c r="AS743" s="57"/>
      <c r="AU743" s="57"/>
      <c r="BF743" s="98"/>
      <c r="BG743" s="98"/>
      <c r="BH743" s="98"/>
      <c r="BI743" s="98"/>
      <c r="BJ743" s="98"/>
      <c r="BK743" s="98"/>
      <c r="BL743" s="98"/>
      <c r="BM743" s="57"/>
    </row>
    <row r="744" spans="1:65" ht="11.25" x14ac:dyDescent="0.2">
      <c r="A744" s="57"/>
      <c r="B744" s="57"/>
      <c r="C744" s="57"/>
      <c r="D744" s="57"/>
      <c r="E744" s="57"/>
      <c r="F744" s="57"/>
      <c r="G744" s="57"/>
      <c r="H744" s="57"/>
      <c r="I744" s="57"/>
      <c r="J744" s="57"/>
      <c r="L744" s="57"/>
      <c r="M744" s="57"/>
      <c r="N744" s="57"/>
      <c r="O744" s="57"/>
      <c r="P744" s="57"/>
      <c r="Q744" s="57"/>
      <c r="R744" s="57"/>
      <c r="S744" s="57"/>
      <c r="T744" s="57"/>
      <c r="U744" s="57"/>
      <c r="V744" s="57"/>
      <c r="W744" s="57"/>
      <c r="X744" s="57"/>
      <c r="Y744" s="98"/>
      <c r="AA744" s="98"/>
      <c r="AR744" s="98"/>
      <c r="AS744" s="57"/>
      <c r="AU744" s="57"/>
      <c r="BF744" s="98"/>
      <c r="BG744" s="98"/>
      <c r="BH744" s="98"/>
      <c r="BI744" s="98"/>
      <c r="BJ744" s="98"/>
      <c r="BK744" s="98"/>
      <c r="BL744" s="98"/>
      <c r="BM744" s="57"/>
    </row>
    <row r="745" spans="1:65" ht="11.25" x14ac:dyDescent="0.2">
      <c r="A745" s="57"/>
      <c r="B745" s="57"/>
      <c r="C745" s="57"/>
      <c r="D745" s="57"/>
      <c r="E745" s="57"/>
      <c r="F745" s="57"/>
      <c r="G745" s="57"/>
      <c r="H745" s="57"/>
      <c r="I745" s="57"/>
      <c r="J745" s="57"/>
      <c r="L745" s="57"/>
      <c r="M745" s="57"/>
      <c r="N745" s="57"/>
      <c r="O745" s="57"/>
      <c r="P745" s="57"/>
      <c r="Q745" s="57"/>
      <c r="R745" s="57"/>
      <c r="S745" s="57"/>
      <c r="T745" s="57"/>
      <c r="U745" s="57"/>
      <c r="V745" s="57"/>
      <c r="W745" s="57"/>
      <c r="X745" s="57"/>
      <c r="Y745" s="98"/>
      <c r="AA745" s="98"/>
      <c r="AR745" s="98"/>
      <c r="AS745" s="57"/>
      <c r="AU745" s="57"/>
      <c r="BF745" s="98"/>
      <c r="BG745" s="98"/>
      <c r="BH745" s="98"/>
      <c r="BI745" s="98"/>
      <c r="BJ745" s="98"/>
      <c r="BK745" s="98"/>
      <c r="BL745" s="98"/>
      <c r="BM745" s="57"/>
    </row>
    <row r="746" spans="1:65" ht="11.25" x14ac:dyDescent="0.2">
      <c r="A746" s="57"/>
      <c r="B746" s="57"/>
      <c r="C746" s="57"/>
      <c r="D746" s="57"/>
      <c r="E746" s="57"/>
      <c r="F746" s="57"/>
      <c r="G746" s="57"/>
      <c r="H746" s="57"/>
      <c r="I746" s="57"/>
      <c r="J746" s="57"/>
      <c r="L746" s="57"/>
      <c r="M746" s="57"/>
      <c r="N746" s="57"/>
      <c r="O746" s="57"/>
      <c r="P746" s="57"/>
      <c r="Q746" s="57"/>
      <c r="R746" s="57"/>
      <c r="S746" s="57"/>
      <c r="T746" s="57"/>
      <c r="U746" s="57"/>
      <c r="V746" s="57"/>
      <c r="W746" s="57"/>
      <c r="X746" s="57"/>
      <c r="Y746" s="98"/>
      <c r="AA746" s="98"/>
      <c r="AR746" s="98"/>
      <c r="AS746" s="57"/>
      <c r="AU746" s="57"/>
      <c r="BF746" s="98"/>
      <c r="BG746" s="98"/>
      <c r="BH746" s="98"/>
      <c r="BI746" s="98"/>
      <c r="BJ746" s="98"/>
      <c r="BK746" s="98"/>
      <c r="BL746" s="98"/>
      <c r="BM746" s="57"/>
    </row>
    <row r="747" spans="1:65" ht="11.25" x14ac:dyDescent="0.2">
      <c r="A747" s="57"/>
      <c r="B747" s="57"/>
      <c r="C747" s="57"/>
      <c r="D747" s="57"/>
      <c r="E747" s="57"/>
      <c r="F747" s="57"/>
      <c r="G747" s="57"/>
      <c r="H747" s="57"/>
      <c r="I747" s="57"/>
      <c r="J747" s="57"/>
      <c r="L747" s="57"/>
      <c r="M747" s="57"/>
      <c r="N747" s="57"/>
      <c r="O747" s="57"/>
      <c r="P747" s="57"/>
      <c r="Q747" s="57"/>
      <c r="R747" s="57"/>
      <c r="S747" s="57"/>
      <c r="T747" s="57"/>
      <c r="U747" s="57"/>
      <c r="V747" s="57"/>
      <c r="W747" s="57"/>
      <c r="X747" s="57"/>
      <c r="Y747" s="98"/>
      <c r="AA747" s="98"/>
      <c r="AR747" s="98"/>
      <c r="AS747" s="57"/>
      <c r="AU747" s="57"/>
      <c r="BF747" s="98"/>
      <c r="BG747" s="98"/>
      <c r="BH747" s="98"/>
      <c r="BI747" s="98"/>
      <c r="BJ747" s="98"/>
      <c r="BK747" s="98"/>
      <c r="BL747" s="98"/>
      <c r="BM747" s="57"/>
    </row>
    <row r="748" spans="1:65" ht="11.25" x14ac:dyDescent="0.2">
      <c r="A748" s="57"/>
      <c r="B748" s="57"/>
      <c r="C748" s="57"/>
      <c r="D748" s="57"/>
      <c r="E748" s="57"/>
      <c r="F748" s="57"/>
      <c r="G748" s="57"/>
      <c r="H748" s="57"/>
      <c r="I748" s="57"/>
      <c r="J748" s="57"/>
      <c r="L748" s="57"/>
      <c r="M748" s="57"/>
      <c r="N748" s="57"/>
      <c r="O748" s="57"/>
      <c r="P748" s="57"/>
      <c r="Q748" s="57"/>
      <c r="R748" s="57"/>
      <c r="S748" s="57"/>
      <c r="T748" s="57"/>
      <c r="U748" s="57"/>
      <c r="V748" s="57"/>
      <c r="W748" s="57"/>
      <c r="X748" s="57"/>
      <c r="Y748" s="98"/>
      <c r="AA748" s="98"/>
      <c r="AR748" s="98"/>
      <c r="AS748" s="57"/>
      <c r="AU748" s="57"/>
      <c r="BF748" s="98"/>
      <c r="BG748" s="98"/>
      <c r="BH748" s="98"/>
      <c r="BI748" s="98"/>
      <c r="BJ748" s="98"/>
      <c r="BK748" s="98"/>
      <c r="BL748" s="98"/>
      <c r="BM748" s="57"/>
    </row>
    <row r="749" spans="1:65" ht="11.25" x14ac:dyDescent="0.2">
      <c r="A749" s="57"/>
      <c r="B749" s="57"/>
      <c r="C749" s="57"/>
      <c r="D749" s="57"/>
      <c r="E749" s="57"/>
      <c r="F749" s="57"/>
      <c r="G749" s="57"/>
      <c r="H749" s="57"/>
      <c r="I749" s="57"/>
      <c r="J749" s="57"/>
      <c r="L749" s="57"/>
      <c r="M749" s="57"/>
      <c r="N749" s="57"/>
      <c r="O749" s="57"/>
      <c r="P749" s="57"/>
      <c r="Q749" s="57"/>
      <c r="R749" s="57"/>
      <c r="S749" s="57"/>
      <c r="T749" s="57"/>
      <c r="U749" s="57"/>
      <c r="V749" s="57"/>
      <c r="W749" s="57"/>
      <c r="X749" s="57"/>
      <c r="Y749" s="98"/>
      <c r="AA749" s="98"/>
      <c r="AR749" s="98"/>
      <c r="AS749" s="57"/>
      <c r="AU749" s="57"/>
      <c r="BF749" s="98"/>
      <c r="BG749" s="98"/>
      <c r="BH749" s="98"/>
      <c r="BI749" s="98"/>
      <c r="BJ749" s="98"/>
      <c r="BK749" s="98"/>
      <c r="BL749" s="98"/>
      <c r="BM749" s="57"/>
    </row>
    <row r="750" spans="1:65" ht="11.25" x14ac:dyDescent="0.2">
      <c r="A750" s="57"/>
      <c r="B750" s="57"/>
      <c r="C750" s="57"/>
      <c r="D750" s="57"/>
      <c r="E750" s="57"/>
      <c r="F750" s="57"/>
      <c r="G750" s="57"/>
      <c r="H750" s="57"/>
      <c r="I750" s="57"/>
      <c r="J750" s="57"/>
      <c r="L750" s="57"/>
      <c r="M750" s="57"/>
      <c r="N750" s="57"/>
      <c r="O750" s="57"/>
      <c r="P750" s="57"/>
      <c r="Q750" s="57"/>
      <c r="R750" s="57"/>
      <c r="S750" s="57"/>
      <c r="T750" s="57"/>
      <c r="U750" s="57"/>
      <c r="V750" s="57"/>
      <c r="W750" s="57"/>
      <c r="X750" s="57"/>
      <c r="Y750" s="98"/>
      <c r="AA750" s="98"/>
      <c r="AR750" s="98"/>
      <c r="AS750" s="57"/>
      <c r="AU750" s="57"/>
      <c r="BF750" s="98"/>
      <c r="BG750" s="98"/>
      <c r="BH750" s="98"/>
      <c r="BI750" s="98"/>
      <c r="BJ750" s="98"/>
      <c r="BK750" s="98"/>
      <c r="BL750" s="98"/>
      <c r="BM750" s="57"/>
    </row>
    <row r="751" spans="1:65" ht="11.25" x14ac:dyDescent="0.2">
      <c r="A751" s="57"/>
      <c r="B751" s="57"/>
      <c r="C751" s="57"/>
      <c r="D751" s="57"/>
      <c r="E751" s="57"/>
      <c r="F751" s="57"/>
      <c r="G751" s="57"/>
      <c r="H751" s="57"/>
      <c r="I751" s="57"/>
      <c r="J751" s="57"/>
      <c r="L751" s="57"/>
      <c r="M751" s="57"/>
      <c r="N751" s="57"/>
      <c r="O751" s="57"/>
      <c r="P751" s="57"/>
      <c r="Q751" s="57"/>
      <c r="R751" s="57"/>
      <c r="S751" s="57"/>
      <c r="T751" s="57"/>
      <c r="U751" s="57"/>
      <c r="V751" s="57"/>
      <c r="W751" s="57"/>
      <c r="X751" s="57"/>
      <c r="Y751" s="98"/>
      <c r="AA751" s="98"/>
      <c r="AR751" s="98"/>
      <c r="AS751" s="57"/>
      <c r="AU751" s="57"/>
      <c r="BF751" s="98"/>
      <c r="BG751" s="98"/>
      <c r="BH751" s="98"/>
      <c r="BI751" s="98"/>
      <c r="BJ751" s="98"/>
      <c r="BK751" s="98"/>
      <c r="BL751" s="98"/>
      <c r="BM751" s="57"/>
    </row>
    <row r="752" spans="1:65" ht="11.25" x14ac:dyDescent="0.2">
      <c r="A752" s="57"/>
      <c r="B752" s="57"/>
      <c r="C752" s="57"/>
      <c r="D752" s="57"/>
      <c r="E752" s="57"/>
      <c r="F752" s="57"/>
      <c r="G752" s="57"/>
      <c r="H752" s="57"/>
      <c r="I752" s="57"/>
      <c r="J752" s="57"/>
      <c r="L752" s="57"/>
      <c r="M752" s="57"/>
      <c r="N752" s="57"/>
      <c r="O752" s="57"/>
      <c r="P752" s="57"/>
      <c r="Q752" s="57"/>
      <c r="R752" s="57"/>
      <c r="S752" s="57"/>
      <c r="T752" s="57"/>
      <c r="U752" s="57"/>
      <c r="V752" s="57"/>
      <c r="W752" s="57"/>
      <c r="X752" s="57"/>
      <c r="Y752" s="98"/>
      <c r="AA752" s="98"/>
      <c r="AR752" s="98"/>
      <c r="AS752" s="57"/>
      <c r="AU752" s="57"/>
      <c r="BF752" s="98"/>
      <c r="BG752" s="98"/>
      <c r="BH752" s="98"/>
      <c r="BI752" s="98"/>
      <c r="BJ752" s="98"/>
      <c r="BK752" s="98"/>
      <c r="BL752" s="98"/>
      <c r="BM752" s="57"/>
    </row>
    <row r="753" spans="1:65" ht="11.25" x14ac:dyDescent="0.2">
      <c r="A753" s="57"/>
      <c r="B753" s="57"/>
      <c r="C753" s="57"/>
      <c r="D753" s="57"/>
      <c r="E753" s="57"/>
      <c r="F753" s="57"/>
      <c r="G753" s="57"/>
      <c r="H753" s="57"/>
      <c r="I753" s="57"/>
      <c r="J753" s="57"/>
      <c r="L753" s="57"/>
      <c r="M753" s="57"/>
      <c r="N753" s="57"/>
      <c r="O753" s="57"/>
      <c r="P753" s="57"/>
      <c r="Q753" s="57"/>
      <c r="R753" s="57"/>
      <c r="S753" s="57"/>
      <c r="T753" s="57"/>
      <c r="U753" s="57"/>
      <c r="V753" s="57"/>
      <c r="W753" s="57"/>
      <c r="X753" s="57"/>
      <c r="Y753" s="98"/>
      <c r="AA753" s="98"/>
      <c r="AR753" s="98"/>
      <c r="AS753" s="57"/>
      <c r="AU753" s="57"/>
      <c r="BF753" s="98"/>
      <c r="BG753" s="98"/>
      <c r="BH753" s="98"/>
      <c r="BI753" s="98"/>
      <c r="BJ753" s="98"/>
      <c r="BK753" s="98"/>
      <c r="BL753" s="98"/>
      <c r="BM753" s="57"/>
    </row>
    <row r="754" spans="1:65" ht="11.25" x14ac:dyDescent="0.2">
      <c r="A754" s="57"/>
      <c r="B754" s="57"/>
      <c r="C754" s="57"/>
      <c r="D754" s="57"/>
      <c r="E754" s="57"/>
      <c r="F754" s="57"/>
      <c r="G754" s="57"/>
      <c r="H754" s="57"/>
      <c r="I754" s="57"/>
      <c r="J754" s="57"/>
      <c r="L754" s="57"/>
      <c r="M754" s="57"/>
      <c r="N754" s="57"/>
      <c r="O754" s="57"/>
      <c r="P754" s="57"/>
      <c r="Q754" s="57"/>
      <c r="R754" s="57"/>
      <c r="S754" s="57"/>
      <c r="T754" s="57"/>
      <c r="U754" s="57"/>
      <c r="V754" s="57"/>
      <c r="W754" s="57"/>
      <c r="X754" s="57"/>
      <c r="Y754" s="98"/>
      <c r="AA754" s="98"/>
      <c r="AR754" s="98"/>
      <c r="AS754" s="57"/>
      <c r="AU754" s="57"/>
      <c r="BF754" s="98"/>
      <c r="BG754" s="98"/>
      <c r="BH754" s="98"/>
      <c r="BI754" s="98"/>
      <c r="BJ754" s="98"/>
      <c r="BK754" s="98"/>
      <c r="BL754" s="98"/>
      <c r="BM754" s="57"/>
    </row>
    <row r="755" spans="1:65" ht="11.25" x14ac:dyDescent="0.2">
      <c r="A755" s="57"/>
      <c r="B755" s="57"/>
      <c r="C755" s="57"/>
      <c r="D755" s="57"/>
      <c r="E755" s="57"/>
      <c r="F755" s="57"/>
      <c r="G755" s="57"/>
      <c r="H755" s="57"/>
      <c r="I755" s="57"/>
      <c r="J755" s="57"/>
      <c r="L755" s="57"/>
      <c r="M755" s="57"/>
      <c r="N755" s="57"/>
      <c r="O755" s="57"/>
      <c r="P755" s="57"/>
      <c r="Q755" s="57"/>
      <c r="R755" s="57"/>
      <c r="S755" s="57"/>
      <c r="T755" s="57"/>
      <c r="U755" s="57"/>
      <c r="V755" s="57"/>
      <c r="W755" s="57"/>
      <c r="X755" s="57"/>
      <c r="Y755" s="98"/>
      <c r="AA755" s="98"/>
      <c r="AR755" s="98"/>
      <c r="AS755" s="57"/>
      <c r="AU755" s="57"/>
      <c r="BF755" s="98"/>
      <c r="BG755" s="98"/>
      <c r="BH755" s="98"/>
      <c r="BI755" s="98"/>
      <c r="BJ755" s="98"/>
      <c r="BK755" s="98"/>
      <c r="BL755" s="98"/>
      <c r="BM755" s="57"/>
    </row>
    <row r="756" spans="1:65" ht="11.25" x14ac:dyDescent="0.2">
      <c r="A756" s="57"/>
      <c r="B756" s="57"/>
      <c r="C756" s="57"/>
      <c r="D756" s="57"/>
      <c r="E756" s="57"/>
      <c r="F756" s="57"/>
      <c r="G756" s="57"/>
      <c r="H756" s="57"/>
      <c r="I756" s="57"/>
      <c r="J756" s="57"/>
      <c r="L756" s="57"/>
      <c r="M756" s="57"/>
      <c r="N756" s="57"/>
      <c r="O756" s="57"/>
      <c r="P756" s="57"/>
      <c r="Q756" s="57"/>
      <c r="R756" s="57"/>
      <c r="S756" s="57"/>
      <c r="T756" s="57"/>
      <c r="U756" s="57"/>
      <c r="V756" s="57"/>
      <c r="W756" s="57"/>
      <c r="X756" s="57"/>
      <c r="Y756" s="98"/>
      <c r="AA756" s="98"/>
      <c r="AR756" s="98"/>
      <c r="AS756" s="57"/>
      <c r="AU756" s="57"/>
      <c r="BF756" s="98"/>
      <c r="BG756" s="98"/>
      <c r="BH756" s="98"/>
      <c r="BI756" s="98"/>
      <c r="BJ756" s="98"/>
      <c r="BK756" s="98"/>
      <c r="BL756" s="98"/>
      <c r="BM756" s="57"/>
    </row>
    <row r="757" spans="1:65" ht="11.25" x14ac:dyDescent="0.2">
      <c r="A757" s="57"/>
      <c r="B757" s="57"/>
      <c r="C757" s="57"/>
      <c r="D757" s="57"/>
      <c r="E757" s="57"/>
      <c r="F757" s="57"/>
      <c r="G757" s="57"/>
      <c r="H757" s="57"/>
      <c r="I757" s="57"/>
      <c r="J757" s="57"/>
      <c r="L757" s="57"/>
      <c r="M757" s="57"/>
      <c r="N757" s="57"/>
      <c r="O757" s="57"/>
      <c r="P757" s="57"/>
      <c r="Q757" s="57"/>
      <c r="R757" s="57"/>
      <c r="S757" s="57"/>
      <c r="T757" s="57"/>
      <c r="U757" s="57"/>
      <c r="V757" s="57"/>
      <c r="W757" s="57"/>
      <c r="X757" s="57"/>
      <c r="Y757" s="98"/>
      <c r="AA757" s="98"/>
      <c r="AR757" s="98"/>
      <c r="AS757" s="57"/>
      <c r="AU757" s="57"/>
      <c r="BF757" s="98"/>
      <c r="BG757" s="98"/>
      <c r="BH757" s="98"/>
      <c r="BI757" s="98"/>
      <c r="BJ757" s="98"/>
      <c r="BK757" s="98"/>
      <c r="BL757" s="98"/>
      <c r="BM757" s="57"/>
    </row>
    <row r="758" spans="1:65" ht="11.25" x14ac:dyDescent="0.2">
      <c r="A758" s="57"/>
      <c r="B758" s="57"/>
      <c r="C758" s="57"/>
      <c r="D758" s="57"/>
      <c r="E758" s="57"/>
      <c r="F758" s="57"/>
      <c r="G758" s="57"/>
      <c r="H758" s="57"/>
      <c r="I758" s="57"/>
      <c r="J758" s="57"/>
      <c r="L758" s="57"/>
      <c r="M758" s="57"/>
      <c r="N758" s="57"/>
      <c r="O758" s="57"/>
      <c r="P758" s="57"/>
      <c r="Q758" s="57"/>
      <c r="R758" s="57"/>
      <c r="S758" s="57"/>
      <c r="T758" s="57"/>
      <c r="U758" s="57"/>
      <c r="V758" s="57"/>
      <c r="W758" s="57"/>
      <c r="X758" s="57"/>
      <c r="Y758" s="98"/>
      <c r="AA758" s="98"/>
      <c r="AR758" s="98"/>
      <c r="AS758" s="57"/>
      <c r="AU758" s="57"/>
      <c r="BF758" s="98"/>
      <c r="BG758" s="98"/>
      <c r="BH758" s="98"/>
      <c r="BI758" s="98"/>
      <c r="BJ758" s="98"/>
      <c r="BK758" s="98"/>
      <c r="BL758" s="98"/>
      <c r="BM758" s="57"/>
    </row>
    <row r="759" spans="1:65" ht="11.25" x14ac:dyDescent="0.2">
      <c r="A759" s="57"/>
      <c r="B759" s="57"/>
      <c r="C759" s="57"/>
      <c r="D759" s="57"/>
      <c r="E759" s="57"/>
      <c r="F759" s="57"/>
      <c r="G759" s="57"/>
      <c r="H759" s="57"/>
      <c r="I759" s="57"/>
      <c r="J759" s="57"/>
      <c r="L759" s="57"/>
      <c r="M759" s="57"/>
      <c r="N759" s="57"/>
      <c r="O759" s="57"/>
      <c r="P759" s="57"/>
      <c r="Q759" s="57"/>
      <c r="R759" s="57"/>
      <c r="S759" s="57"/>
      <c r="T759" s="57"/>
      <c r="U759" s="57"/>
      <c r="V759" s="57"/>
      <c r="W759" s="57"/>
      <c r="X759" s="57"/>
      <c r="Y759" s="98"/>
      <c r="AA759" s="98"/>
      <c r="AR759" s="98"/>
      <c r="AS759" s="57"/>
      <c r="AU759" s="57"/>
      <c r="BF759" s="98"/>
      <c r="BG759" s="98"/>
      <c r="BH759" s="98"/>
      <c r="BI759" s="98"/>
      <c r="BJ759" s="98"/>
      <c r="BK759" s="98"/>
      <c r="BL759" s="98"/>
      <c r="BM759" s="57"/>
    </row>
    <row r="760" spans="1:65" ht="11.25" x14ac:dyDescent="0.2">
      <c r="A760" s="57"/>
      <c r="B760" s="57"/>
      <c r="C760" s="57"/>
      <c r="D760" s="57"/>
      <c r="E760" s="57"/>
      <c r="F760" s="57"/>
      <c r="G760" s="57"/>
      <c r="H760" s="57"/>
      <c r="I760" s="57"/>
      <c r="J760" s="57"/>
      <c r="L760" s="57"/>
      <c r="M760" s="57"/>
      <c r="N760" s="57"/>
      <c r="O760" s="57"/>
      <c r="P760" s="57"/>
      <c r="Q760" s="57"/>
      <c r="R760" s="57"/>
      <c r="S760" s="57"/>
      <c r="T760" s="57"/>
      <c r="U760" s="57"/>
      <c r="V760" s="57"/>
      <c r="W760" s="57"/>
      <c r="X760" s="57"/>
      <c r="Y760" s="98"/>
      <c r="AA760" s="98"/>
      <c r="AR760" s="98"/>
      <c r="AS760" s="57"/>
      <c r="AU760" s="57"/>
      <c r="BF760" s="98"/>
      <c r="BG760" s="98"/>
      <c r="BH760" s="98"/>
      <c r="BI760" s="98"/>
      <c r="BJ760" s="98"/>
      <c r="BK760" s="98"/>
      <c r="BL760" s="98"/>
      <c r="BM760" s="57"/>
    </row>
    <row r="761" spans="1:65" ht="11.25" x14ac:dyDescent="0.2">
      <c r="A761" s="57"/>
      <c r="B761" s="57"/>
      <c r="C761" s="57"/>
      <c r="D761" s="57"/>
      <c r="E761" s="57"/>
      <c r="F761" s="57"/>
      <c r="G761" s="57"/>
      <c r="H761" s="57"/>
      <c r="I761" s="57"/>
      <c r="J761" s="57"/>
      <c r="L761" s="57"/>
      <c r="M761" s="57"/>
      <c r="N761" s="57"/>
      <c r="O761" s="57"/>
      <c r="P761" s="57"/>
      <c r="Q761" s="57"/>
      <c r="R761" s="57"/>
      <c r="S761" s="57"/>
      <c r="T761" s="57"/>
      <c r="U761" s="57"/>
      <c r="V761" s="57"/>
      <c r="W761" s="57"/>
      <c r="X761" s="57"/>
      <c r="Y761" s="98"/>
      <c r="AA761" s="98"/>
      <c r="AR761" s="98"/>
      <c r="AS761" s="57"/>
      <c r="AU761" s="57"/>
      <c r="BF761" s="98"/>
      <c r="BG761" s="98"/>
      <c r="BH761" s="98"/>
      <c r="BI761" s="98"/>
      <c r="BJ761" s="98"/>
      <c r="BK761" s="98"/>
      <c r="BL761" s="98"/>
      <c r="BM761" s="57"/>
    </row>
    <row r="762" spans="1:65" ht="11.25" x14ac:dyDescent="0.2">
      <c r="A762" s="57"/>
      <c r="B762" s="57"/>
      <c r="C762" s="57"/>
      <c r="D762" s="57"/>
      <c r="E762" s="57"/>
      <c r="F762" s="57"/>
      <c r="G762" s="57"/>
      <c r="H762" s="57"/>
      <c r="I762" s="57"/>
      <c r="J762" s="57"/>
      <c r="L762" s="57"/>
      <c r="M762" s="57"/>
      <c r="N762" s="57"/>
      <c r="O762" s="57"/>
      <c r="P762" s="57"/>
      <c r="Q762" s="57"/>
      <c r="R762" s="57"/>
      <c r="S762" s="57"/>
      <c r="T762" s="57"/>
      <c r="U762" s="57"/>
      <c r="V762" s="57"/>
      <c r="W762" s="57"/>
      <c r="X762" s="57"/>
      <c r="Y762" s="98"/>
      <c r="AA762" s="98"/>
      <c r="AR762" s="98"/>
      <c r="AS762" s="57"/>
      <c r="AU762" s="57"/>
      <c r="BF762" s="98"/>
      <c r="BG762" s="98"/>
      <c r="BH762" s="98"/>
      <c r="BI762" s="98"/>
      <c r="BJ762" s="98"/>
      <c r="BK762" s="98"/>
      <c r="BL762" s="98"/>
      <c r="BM762" s="57"/>
    </row>
    <row r="763" spans="1:65" ht="11.25" x14ac:dyDescent="0.2">
      <c r="A763" s="57"/>
      <c r="B763" s="57"/>
      <c r="C763" s="57"/>
      <c r="D763" s="57"/>
      <c r="E763" s="57"/>
      <c r="F763" s="57"/>
      <c r="G763" s="57"/>
      <c r="H763" s="57"/>
      <c r="I763" s="57"/>
      <c r="J763" s="57"/>
      <c r="L763" s="57"/>
      <c r="M763" s="57"/>
      <c r="N763" s="57"/>
      <c r="O763" s="57"/>
      <c r="P763" s="57"/>
      <c r="Q763" s="57"/>
      <c r="R763" s="57"/>
      <c r="S763" s="57"/>
      <c r="T763" s="57"/>
      <c r="U763" s="57"/>
      <c r="V763" s="57"/>
      <c r="W763" s="57"/>
      <c r="X763" s="57"/>
      <c r="Y763" s="98"/>
      <c r="AA763" s="98"/>
      <c r="AR763" s="98"/>
      <c r="AS763" s="57"/>
      <c r="AU763" s="57"/>
      <c r="BF763" s="98"/>
      <c r="BG763" s="98"/>
      <c r="BH763" s="98"/>
      <c r="BI763" s="98"/>
      <c r="BJ763" s="98"/>
      <c r="BK763" s="98"/>
      <c r="BL763" s="98"/>
      <c r="BM763" s="57"/>
    </row>
    <row r="764" spans="1:65" ht="11.25" x14ac:dyDescent="0.2">
      <c r="A764" s="57"/>
      <c r="B764" s="57"/>
      <c r="C764" s="57"/>
      <c r="D764" s="57"/>
      <c r="E764" s="57"/>
      <c r="F764" s="57"/>
      <c r="G764" s="57"/>
      <c r="H764" s="57"/>
      <c r="I764" s="57"/>
      <c r="J764" s="57"/>
      <c r="L764" s="57"/>
      <c r="M764" s="57"/>
      <c r="N764" s="57"/>
      <c r="O764" s="57"/>
      <c r="P764" s="57"/>
      <c r="Q764" s="57"/>
      <c r="R764" s="57"/>
      <c r="S764" s="57"/>
      <c r="T764" s="57"/>
      <c r="U764" s="57"/>
      <c r="V764" s="57"/>
      <c r="W764" s="57"/>
      <c r="X764" s="57"/>
      <c r="Y764" s="98"/>
      <c r="AA764" s="98"/>
      <c r="AR764" s="98"/>
      <c r="AS764" s="57"/>
      <c r="AU764" s="57"/>
      <c r="BF764" s="98"/>
      <c r="BG764" s="98"/>
      <c r="BH764" s="98"/>
      <c r="BI764" s="98"/>
      <c r="BJ764" s="98"/>
      <c r="BK764" s="98"/>
      <c r="BL764" s="98"/>
      <c r="BM764" s="57"/>
    </row>
    <row r="765" spans="1:65" ht="11.25" x14ac:dyDescent="0.2">
      <c r="A765" s="57"/>
      <c r="B765" s="57"/>
      <c r="C765" s="57"/>
      <c r="D765" s="57"/>
      <c r="E765" s="57"/>
      <c r="F765" s="57"/>
      <c r="G765" s="57"/>
      <c r="H765" s="57"/>
      <c r="I765" s="57"/>
      <c r="J765" s="57"/>
      <c r="L765" s="57"/>
      <c r="M765" s="57"/>
      <c r="N765" s="57"/>
      <c r="O765" s="57"/>
      <c r="P765" s="57"/>
      <c r="Q765" s="57"/>
      <c r="R765" s="57"/>
      <c r="S765" s="57"/>
      <c r="T765" s="57"/>
      <c r="U765" s="57"/>
      <c r="V765" s="57"/>
      <c r="W765" s="57"/>
      <c r="X765" s="57"/>
      <c r="Y765" s="98"/>
      <c r="AA765" s="98"/>
      <c r="AR765" s="98"/>
      <c r="AS765" s="57"/>
      <c r="AU765" s="57"/>
      <c r="BF765" s="98"/>
      <c r="BG765" s="98"/>
      <c r="BH765" s="98"/>
      <c r="BI765" s="98"/>
      <c r="BJ765" s="98"/>
      <c r="BK765" s="98"/>
      <c r="BL765" s="98"/>
      <c r="BM765" s="57"/>
    </row>
    <row r="766" spans="1:65" ht="11.25" x14ac:dyDescent="0.2">
      <c r="A766" s="57"/>
      <c r="B766" s="57"/>
      <c r="C766" s="57"/>
      <c r="D766" s="57"/>
      <c r="E766" s="57"/>
      <c r="F766" s="57"/>
      <c r="G766" s="57"/>
      <c r="H766" s="57"/>
      <c r="I766" s="57"/>
      <c r="J766" s="57"/>
      <c r="L766" s="57"/>
      <c r="M766" s="57"/>
      <c r="N766" s="57"/>
      <c r="O766" s="57"/>
      <c r="P766" s="57"/>
      <c r="Q766" s="57"/>
      <c r="R766" s="57"/>
      <c r="S766" s="57"/>
      <c r="T766" s="57"/>
      <c r="U766" s="57"/>
      <c r="V766" s="57"/>
      <c r="W766" s="57"/>
      <c r="X766" s="57"/>
      <c r="Y766" s="98"/>
      <c r="AA766" s="98"/>
      <c r="AR766" s="98"/>
      <c r="AS766" s="57"/>
      <c r="AU766" s="57"/>
      <c r="BF766" s="98"/>
      <c r="BG766" s="98"/>
      <c r="BH766" s="98"/>
      <c r="BI766" s="98"/>
      <c r="BJ766" s="98"/>
      <c r="BK766" s="98"/>
      <c r="BL766" s="98"/>
      <c r="BM766" s="57"/>
    </row>
    <row r="767" spans="1:65" ht="11.25" x14ac:dyDescent="0.2">
      <c r="A767" s="57"/>
      <c r="B767" s="57"/>
      <c r="C767" s="57"/>
      <c r="D767" s="57"/>
      <c r="E767" s="57"/>
      <c r="F767" s="57"/>
      <c r="G767" s="57"/>
      <c r="H767" s="57"/>
      <c r="I767" s="57"/>
      <c r="J767" s="57"/>
      <c r="L767" s="57"/>
      <c r="M767" s="57"/>
      <c r="N767" s="57"/>
      <c r="O767" s="57"/>
      <c r="P767" s="57"/>
      <c r="Q767" s="57"/>
      <c r="R767" s="57"/>
      <c r="S767" s="57"/>
      <c r="T767" s="57"/>
      <c r="U767" s="57"/>
      <c r="V767" s="57"/>
      <c r="W767" s="57"/>
      <c r="X767" s="57"/>
      <c r="Y767" s="98"/>
      <c r="AA767" s="98"/>
      <c r="AR767" s="98"/>
      <c r="AS767" s="57"/>
      <c r="AU767" s="57"/>
      <c r="BF767" s="98"/>
      <c r="BG767" s="98"/>
      <c r="BH767" s="98"/>
      <c r="BI767" s="98"/>
      <c r="BJ767" s="98"/>
      <c r="BK767" s="98"/>
      <c r="BL767" s="98"/>
      <c r="BM767" s="57"/>
    </row>
    <row r="768" spans="1:65" ht="11.25" x14ac:dyDescent="0.2">
      <c r="A768" s="57"/>
      <c r="B768" s="57"/>
      <c r="C768" s="57"/>
      <c r="D768" s="57"/>
      <c r="E768" s="57"/>
      <c r="F768" s="57"/>
      <c r="G768" s="57"/>
      <c r="H768" s="57"/>
      <c r="I768" s="57"/>
      <c r="J768" s="57"/>
      <c r="L768" s="57"/>
      <c r="M768" s="57"/>
      <c r="N768" s="57"/>
      <c r="O768" s="57"/>
      <c r="P768" s="57"/>
      <c r="Q768" s="57"/>
      <c r="R768" s="57"/>
      <c r="S768" s="57"/>
      <c r="T768" s="57"/>
      <c r="U768" s="57"/>
      <c r="V768" s="57"/>
      <c r="W768" s="57"/>
      <c r="X768" s="57"/>
      <c r="Y768" s="98"/>
      <c r="AA768" s="98"/>
      <c r="AR768" s="98"/>
      <c r="AS768" s="57"/>
      <c r="AU768" s="57"/>
      <c r="BF768" s="98"/>
      <c r="BG768" s="98"/>
      <c r="BH768" s="98"/>
      <c r="BI768" s="98"/>
      <c r="BJ768" s="98"/>
      <c r="BK768" s="98"/>
      <c r="BL768" s="98"/>
      <c r="BM768" s="57"/>
    </row>
    <row r="769" spans="1:65" ht="11.25" x14ac:dyDescent="0.2">
      <c r="A769" s="57"/>
      <c r="B769" s="57"/>
      <c r="C769" s="57"/>
      <c r="D769" s="57"/>
      <c r="E769" s="57"/>
      <c r="F769" s="57"/>
      <c r="G769" s="57"/>
      <c r="H769" s="57"/>
      <c r="I769" s="57"/>
      <c r="J769" s="57"/>
      <c r="L769" s="57"/>
      <c r="M769" s="57"/>
      <c r="N769" s="57"/>
      <c r="O769" s="57"/>
      <c r="P769" s="57"/>
      <c r="Q769" s="57"/>
      <c r="R769" s="57"/>
      <c r="S769" s="57"/>
      <c r="T769" s="57"/>
      <c r="U769" s="57"/>
      <c r="V769" s="57"/>
      <c r="W769" s="57"/>
      <c r="X769" s="57"/>
      <c r="Y769" s="98"/>
      <c r="AA769" s="98"/>
      <c r="AR769" s="98"/>
      <c r="AS769" s="57"/>
      <c r="AU769" s="57"/>
      <c r="BF769" s="98"/>
      <c r="BG769" s="98"/>
      <c r="BH769" s="98"/>
      <c r="BI769" s="98"/>
      <c r="BJ769" s="98"/>
      <c r="BK769" s="98"/>
      <c r="BL769" s="98"/>
      <c r="BM769" s="57"/>
    </row>
    <row r="770" spans="1:65" ht="11.25" x14ac:dyDescent="0.2">
      <c r="A770" s="57"/>
      <c r="B770" s="57"/>
      <c r="C770" s="57"/>
      <c r="D770" s="57"/>
      <c r="E770" s="57"/>
      <c r="F770" s="57"/>
      <c r="G770" s="57"/>
      <c r="H770" s="57"/>
      <c r="I770" s="57"/>
      <c r="J770" s="57"/>
      <c r="L770" s="57"/>
      <c r="M770" s="57"/>
      <c r="N770" s="57"/>
      <c r="O770" s="57"/>
      <c r="P770" s="57"/>
      <c r="Q770" s="57"/>
      <c r="R770" s="57"/>
      <c r="S770" s="57"/>
      <c r="T770" s="57"/>
      <c r="U770" s="57"/>
      <c r="V770" s="57"/>
      <c r="W770" s="57"/>
      <c r="X770" s="57"/>
      <c r="Y770" s="98"/>
      <c r="AA770" s="98"/>
      <c r="AR770" s="98"/>
      <c r="AS770" s="57"/>
      <c r="AU770" s="57"/>
      <c r="BF770" s="98"/>
      <c r="BG770" s="98"/>
      <c r="BH770" s="98"/>
      <c r="BI770" s="98"/>
      <c r="BJ770" s="98"/>
      <c r="BK770" s="98"/>
      <c r="BL770" s="98"/>
      <c r="BM770" s="57"/>
    </row>
    <row r="771" spans="1:65" ht="11.25" x14ac:dyDescent="0.2">
      <c r="A771" s="57"/>
      <c r="B771" s="57"/>
      <c r="C771" s="57"/>
      <c r="D771" s="57"/>
      <c r="E771" s="57"/>
      <c r="F771" s="57"/>
      <c r="G771" s="57"/>
      <c r="H771" s="57"/>
      <c r="I771" s="57"/>
      <c r="J771" s="57"/>
      <c r="L771" s="57"/>
      <c r="M771" s="57"/>
      <c r="N771" s="57"/>
      <c r="O771" s="57"/>
      <c r="P771" s="57"/>
      <c r="Q771" s="57"/>
      <c r="R771" s="57"/>
      <c r="S771" s="57"/>
      <c r="T771" s="57"/>
      <c r="U771" s="57"/>
      <c r="V771" s="57"/>
      <c r="W771" s="57"/>
      <c r="X771" s="57"/>
      <c r="Y771" s="98"/>
      <c r="AA771" s="98"/>
      <c r="AR771" s="98"/>
      <c r="AS771" s="57"/>
      <c r="AU771" s="57"/>
      <c r="BF771" s="98"/>
      <c r="BG771" s="98"/>
      <c r="BH771" s="98"/>
      <c r="BI771" s="98"/>
      <c r="BJ771" s="98"/>
      <c r="BK771" s="98"/>
      <c r="BL771" s="98"/>
      <c r="BM771" s="57"/>
    </row>
    <row r="772" spans="1:65" ht="11.25" x14ac:dyDescent="0.2">
      <c r="A772" s="57"/>
      <c r="B772" s="57"/>
      <c r="C772" s="57"/>
      <c r="D772" s="57"/>
      <c r="E772" s="57"/>
      <c r="F772" s="57"/>
      <c r="G772" s="57"/>
      <c r="H772" s="57"/>
      <c r="I772" s="57"/>
      <c r="J772" s="57"/>
      <c r="L772" s="57"/>
      <c r="M772" s="57"/>
      <c r="N772" s="57"/>
      <c r="O772" s="57"/>
      <c r="P772" s="57"/>
      <c r="Q772" s="57"/>
      <c r="R772" s="57"/>
      <c r="S772" s="57"/>
      <c r="T772" s="57"/>
      <c r="U772" s="57"/>
      <c r="V772" s="57"/>
      <c r="W772" s="57"/>
      <c r="X772" s="57"/>
      <c r="Y772" s="98"/>
      <c r="AA772" s="98"/>
      <c r="AR772" s="98"/>
      <c r="AS772" s="57"/>
      <c r="AU772" s="57"/>
      <c r="BF772" s="98"/>
      <c r="BG772" s="98"/>
      <c r="BH772" s="98"/>
      <c r="BI772" s="98"/>
      <c r="BJ772" s="98"/>
      <c r="BK772" s="98"/>
      <c r="BL772" s="98"/>
      <c r="BM772" s="57"/>
    </row>
    <row r="773" spans="1:65" ht="11.25" x14ac:dyDescent="0.2">
      <c r="A773" s="57"/>
      <c r="B773" s="57"/>
      <c r="C773" s="57"/>
      <c r="D773" s="57"/>
      <c r="E773" s="57"/>
      <c r="F773" s="57"/>
      <c r="G773" s="57"/>
      <c r="H773" s="57"/>
      <c r="I773" s="57"/>
      <c r="J773" s="57"/>
      <c r="L773" s="57"/>
      <c r="M773" s="57"/>
      <c r="N773" s="57"/>
      <c r="O773" s="57"/>
      <c r="P773" s="57"/>
      <c r="Q773" s="57"/>
      <c r="R773" s="57"/>
      <c r="S773" s="57"/>
      <c r="T773" s="57"/>
      <c r="U773" s="57"/>
      <c r="V773" s="57"/>
      <c r="W773" s="57"/>
      <c r="X773" s="57"/>
      <c r="Y773" s="98"/>
      <c r="AA773" s="98"/>
      <c r="AR773" s="98"/>
      <c r="AS773" s="57"/>
      <c r="AU773" s="57"/>
      <c r="BF773" s="98"/>
      <c r="BG773" s="98"/>
      <c r="BH773" s="98"/>
      <c r="BI773" s="98"/>
      <c r="BJ773" s="98"/>
      <c r="BK773" s="98"/>
      <c r="BL773" s="98"/>
      <c r="BM773" s="57"/>
    </row>
    <row r="774" spans="1:65" ht="11.25" x14ac:dyDescent="0.2">
      <c r="A774" s="57"/>
      <c r="B774" s="57"/>
      <c r="C774" s="57"/>
      <c r="D774" s="57"/>
      <c r="E774" s="57"/>
      <c r="F774" s="57"/>
      <c r="G774" s="57"/>
      <c r="H774" s="57"/>
      <c r="I774" s="57"/>
      <c r="J774" s="57"/>
      <c r="L774" s="57"/>
      <c r="M774" s="57"/>
      <c r="N774" s="57"/>
      <c r="O774" s="57"/>
      <c r="P774" s="57"/>
      <c r="Q774" s="57"/>
      <c r="R774" s="57"/>
      <c r="S774" s="57"/>
      <c r="T774" s="57"/>
      <c r="U774" s="57"/>
      <c r="V774" s="57"/>
      <c r="W774" s="57"/>
      <c r="X774" s="57"/>
      <c r="Y774" s="98"/>
      <c r="AA774" s="98"/>
      <c r="AR774" s="98"/>
      <c r="AS774" s="57"/>
      <c r="AU774" s="57"/>
      <c r="BF774" s="98"/>
      <c r="BG774" s="98"/>
      <c r="BH774" s="98"/>
      <c r="BI774" s="98"/>
      <c r="BJ774" s="98"/>
      <c r="BK774" s="98"/>
      <c r="BL774" s="98"/>
      <c r="BM774" s="57"/>
    </row>
    <row r="775" spans="1:65" ht="11.25" x14ac:dyDescent="0.2">
      <c r="A775" s="57"/>
      <c r="B775" s="57"/>
      <c r="C775" s="57"/>
      <c r="D775" s="57"/>
      <c r="E775" s="57"/>
      <c r="F775" s="57"/>
      <c r="G775" s="57"/>
      <c r="H775" s="57"/>
      <c r="I775" s="57"/>
      <c r="J775" s="57"/>
      <c r="L775" s="57"/>
      <c r="M775" s="57"/>
      <c r="N775" s="57"/>
      <c r="O775" s="57"/>
      <c r="P775" s="57"/>
      <c r="Q775" s="57"/>
      <c r="R775" s="57"/>
      <c r="S775" s="57"/>
      <c r="T775" s="57"/>
      <c r="U775" s="57"/>
      <c r="V775" s="57"/>
      <c r="W775" s="57"/>
      <c r="X775" s="57"/>
      <c r="Y775" s="98"/>
      <c r="AA775" s="98"/>
      <c r="AR775" s="98"/>
      <c r="AS775" s="57"/>
      <c r="AU775" s="57"/>
      <c r="BF775" s="98"/>
      <c r="BG775" s="98"/>
      <c r="BH775" s="98"/>
      <c r="BI775" s="98"/>
      <c r="BJ775" s="98"/>
      <c r="BK775" s="98"/>
      <c r="BL775" s="98"/>
      <c r="BM775" s="57"/>
    </row>
    <row r="776" spans="1:65" ht="11.25" x14ac:dyDescent="0.2">
      <c r="A776" s="57"/>
      <c r="B776" s="57"/>
      <c r="C776" s="57"/>
      <c r="D776" s="57"/>
      <c r="E776" s="57"/>
      <c r="F776" s="57"/>
      <c r="G776" s="57"/>
      <c r="H776" s="57"/>
      <c r="I776" s="57"/>
      <c r="J776" s="57"/>
      <c r="L776" s="57"/>
      <c r="M776" s="57"/>
      <c r="N776" s="57"/>
      <c r="O776" s="57"/>
      <c r="P776" s="57"/>
      <c r="Q776" s="57"/>
      <c r="R776" s="57"/>
      <c r="S776" s="57"/>
      <c r="T776" s="57"/>
      <c r="U776" s="57"/>
      <c r="V776" s="57"/>
      <c r="W776" s="57"/>
      <c r="X776" s="57"/>
      <c r="Y776" s="98"/>
      <c r="AA776" s="98"/>
      <c r="AR776" s="98"/>
      <c r="AS776" s="57"/>
      <c r="AU776" s="57"/>
      <c r="BF776" s="98"/>
      <c r="BG776" s="98"/>
      <c r="BH776" s="98"/>
      <c r="BI776" s="98"/>
      <c r="BJ776" s="98"/>
      <c r="BK776" s="98"/>
      <c r="BL776" s="98"/>
      <c r="BM776" s="57"/>
    </row>
    <row r="777" spans="1:65" ht="11.25" x14ac:dyDescent="0.2">
      <c r="A777" s="57"/>
      <c r="B777" s="57"/>
      <c r="C777" s="57"/>
      <c r="D777" s="57"/>
      <c r="E777" s="57"/>
      <c r="F777" s="57"/>
      <c r="G777" s="57"/>
      <c r="H777" s="57"/>
      <c r="I777" s="57"/>
      <c r="J777" s="57"/>
      <c r="L777" s="57"/>
      <c r="M777" s="57"/>
      <c r="N777" s="57"/>
      <c r="O777" s="57"/>
      <c r="P777" s="57"/>
      <c r="Q777" s="57"/>
      <c r="R777" s="57"/>
      <c r="S777" s="57"/>
      <c r="T777" s="57"/>
      <c r="U777" s="57"/>
      <c r="V777" s="57"/>
      <c r="W777" s="57"/>
      <c r="X777" s="57"/>
      <c r="Y777" s="98"/>
      <c r="AA777" s="98"/>
      <c r="AR777" s="98"/>
      <c r="AS777" s="57"/>
      <c r="AU777" s="57"/>
      <c r="BF777" s="98"/>
      <c r="BG777" s="98"/>
      <c r="BH777" s="98"/>
      <c r="BI777" s="98"/>
      <c r="BJ777" s="98"/>
      <c r="BK777" s="98"/>
      <c r="BL777" s="98"/>
      <c r="BM777" s="57"/>
    </row>
    <row r="778" spans="1:65" ht="11.25" x14ac:dyDescent="0.2">
      <c r="A778" s="57"/>
      <c r="B778" s="57"/>
      <c r="C778" s="57"/>
      <c r="D778" s="57"/>
      <c r="E778" s="57"/>
      <c r="F778" s="57"/>
      <c r="G778" s="57"/>
      <c r="H778" s="57"/>
      <c r="I778" s="57"/>
      <c r="J778" s="57"/>
      <c r="L778" s="57"/>
      <c r="M778" s="57"/>
      <c r="N778" s="57"/>
      <c r="O778" s="57"/>
      <c r="P778" s="57"/>
      <c r="Q778" s="57"/>
      <c r="R778" s="57"/>
      <c r="S778" s="57"/>
      <c r="T778" s="57"/>
      <c r="U778" s="57"/>
      <c r="V778" s="57"/>
      <c r="W778" s="57"/>
      <c r="X778" s="57"/>
      <c r="Y778" s="98"/>
      <c r="AA778" s="98"/>
      <c r="AR778" s="98"/>
      <c r="AS778" s="57"/>
      <c r="AU778" s="57"/>
      <c r="BF778" s="98"/>
      <c r="BG778" s="98"/>
      <c r="BH778" s="98"/>
      <c r="BI778" s="98"/>
      <c r="BJ778" s="98"/>
      <c r="BK778" s="98"/>
      <c r="BL778" s="98"/>
      <c r="BM778" s="57"/>
    </row>
    <row r="779" spans="1:65" ht="11.25" x14ac:dyDescent="0.2">
      <c r="A779" s="57"/>
      <c r="B779" s="57"/>
      <c r="C779" s="57"/>
      <c r="D779" s="57"/>
      <c r="E779" s="57"/>
      <c r="F779" s="57"/>
      <c r="G779" s="57"/>
      <c r="H779" s="57"/>
      <c r="I779" s="57"/>
      <c r="J779" s="57"/>
      <c r="L779" s="57"/>
      <c r="M779" s="57"/>
      <c r="N779" s="57"/>
      <c r="O779" s="57"/>
      <c r="P779" s="57"/>
      <c r="Q779" s="57"/>
      <c r="R779" s="57"/>
      <c r="S779" s="57"/>
      <c r="T779" s="57"/>
      <c r="U779" s="57"/>
      <c r="V779" s="57"/>
      <c r="W779" s="57"/>
      <c r="X779" s="57"/>
      <c r="Y779" s="98"/>
      <c r="AA779" s="98"/>
      <c r="AR779" s="98"/>
      <c r="AS779" s="57"/>
      <c r="AU779" s="57"/>
      <c r="BF779" s="98"/>
      <c r="BG779" s="98"/>
      <c r="BH779" s="98"/>
      <c r="BI779" s="98"/>
      <c r="BJ779" s="98"/>
      <c r="BK779" s="98"/>
      <c r="BL779" s="98"/>
      <c r="BM779" s="57"/>
    </row>
    <row r="780" spans="1:65" ht="11.25" x14ac:dyDescent="0.2">
      <c r="A780" s="57"/>
      <c r="B780" s="57"/>
      <c r="C780" s="57"/>
      <c r="D780" s="57"/>
      <c r="E780" s="57"/>
      <c r="F780" s="57"/>
      <c r="G780" s="57"/>
      <c r="H780" s="57"/>
      <c r="I780" s="57"/>
      <c r="J780" s="57"/>
      <c r="L780" s="57"/>
      <c r="M780" s="57"/>
      <c r="N780" s="57"/>
      <c r="O780" s="57"/>
      <c r="P780" s="57"/>
      <c r="Q780" s="57"/>
      <c r="R780" s="57"/>
      <c r="S780" s="57"/>
      <c r="T780" s="57"/>
      <c r="U780" s="57"/>
      <c r="V780" s="57"/>
      <c r="W780" s="57"/>
      <c r="X780" s="57"/>
      <c r="Y780" s="98"/>
      <c r="AA780" s="98"/>
      <c r="AR780" s="98"/>
      <c r="AS780" s="57"/>
      <c r="AU780" s="57"/>
      <c r="BF780" s="98"/>
      <c r="BG780" s="98"/>
      <c r="BH780" s="98"/>
      <c r="BI780" s="98"/>
      <c r="BJ780" s="98"/>
      <c r="BK780" s="98"/>
      <c r="BL780" s="98"/>
      <c r="BM780" s="57"/>
    </row>
    <row r="781" spans="1:65" ht="11.25" x14ac:dyDescent="0.2">
      <c r="A781" s="57"/>
      <c r="B781" s="57"/>
      <c r="C781" s="57"/>
      <c r="D781" s="57"/>
      <c r="E781" s="57"/>
      <c r="F781" s="57"/>
      <c r="G781" s="57"/>
      <c r="H781" s="57"/>
      <c r="I781" s="57"/>
      <c r="J781" s="57"/>
      <c r="L781" s="57"/>
      <c r="M781" s="57"/>
      <c r="N781" s="57"/>
      <c r="O781" s="57"/>
      <c r="P781" s="57"/>
      <c r="Q781" s="57"/>
      <c r="R781" s="57"/>
      <c r="S781" s="57"/>
      <c r="T781" s="57"/>
      <c r="U781" s="57"/>
      <c r="V781" s="57"/>
      <c r="W781" s="57"/>
      <c r="X781" s="57"/>
      <c r="Y781" s="98"/>
      <c r="AA781" s="98"/>
      <c r="AR781" s="98"/>
      <c r="AS781" s="57"/>
      <c r="AU781" s="57"/>
      <c r="BF781" s="98"/>
      <c r="BG781" s="98"/>
      <c r="BH781" s="98"/>
      <c r="BI781" s="98"/>
      <c r="BJ781" s="98"/>
      <c r="BK781" s="98"/>
      <c r="BL781" s="98"/>
      <c r="BM781" s="57"/>
    </row>
    <row r="782" spans="1:65" ht="11.25" x14ac:dyDescent="0.2">
      <c r="A782" s="57"/>
      <c r="B782" s="57"/>
      <c r="C782" s="57"/>
      <c r="D782" s="57"/>
      <c r="E782" s="57"/>
      <c r="F782" s="57"/>
      <c r="G782" s="57"/>
      <c r="H782" s="57"/>
      <c r="I782" s="57"/>
      <c r="J782" s="57"/>
      <c r="L782" s="57"/>
      <c r="M782" s="57"/>
      <c r="N782" s="57"/>
      <c r="O782" s="57"/>
      <c r="P782" s="57"/>
      <c r="Q782" s="57"/>
      <c r="R782" s="57"/>
      <c r="S782" s="57"/>
      <c r="T782" s="57"/>
      <c r="U782" s="57"/>
      <c r="V782" s="57"/>
      <c r="W782" s="57"/>
      <c r="X782" s="57"/>
      <c r="Y782" s="98"/>
      <c r="AA782" s="98"/>
      <c r="AR782" s="98"/>
      <c r="AS782" s="57"/>
      <c r="AU782" s="57"/>
      <c r="BF782" s="98"/>
      <c r="BG782" s="98"/>
      <c r="BH782" s="98"/>
      <c r="BI782" s="98"/>
      <c r="BJ782" s="98"/>
      <c r="BK782" s="98"/>
      <c r="BL782" s="98"/>
      <c r="BM782" s="57"/>
    </row>
    <row r="783" spans="1:65" ht="11.25" x14ac:dyDescent="0.2">
      <c r="A783" s="57"/>
      <c r="B783" s="57"/>
      <c r="C783" s="57"/>
      <c r="D783" s="57"/>
      <c r="E783" s="57"/>
      <c r="F783" s="57"/>
      <c r="G783" s="57"/>
      <c r="H783" s="57"/>
      <c r="I783" s="57"/>
      <c r="J783" s="57"/>
      <c r="L783" s="57"/>
      <c r="M783" s="57"/>
      <c r="N783" s="57"/>
      <c r="O783" s="57"/>
      <c r="P783" s="57"/>
      <c r="Q783" s="57"/>
      <c r="R783" s="57"/>
      <c r="S783" s="57"/>
      <c r="T783" s="57"/>
      <c r="U783" s="57"/>
      <c r="V783" s="57"/>
      <c r="W783" s="57"/>
      <c r="X783" s="57"/>
      <c r="Y783" s="98"/>
      <c r="AA783" s="98"/>
      <c r="AR783" s="98"/>
      <c r="AS783" s="57"/>
      <c r="AU783" s="57"/>
      <c r="BF783" s="98"/>
      <c r="BG783" s="98"/>
      <c r="BH783" s="98"/>
      <c r="BI783" s="98"/>
      <c r="BJ783" s="98"/>
      <c r="BK783" s="98"/>
      <c r="BL783" s="98"/>
      <c r="BM783" s="57"/>
    </row>
    <row r="784" spans="1:65" ht="11.25" x14ac:dyDescent="0.2">
      <c r="A784" s="57"/>
      <c r="B784" s="57"/>
      <c r="C784" s="57"/>
      <c r="D784" s="57"/>
      <c r="E784" s="57"/>
      <c r="F784" s="57"/>
      <c r="G784" s="57"/>
      <c r="H784" s="57"/>
      <c r="I784" s="57"/>
      <c r="J784" s="57"/>
      <c r="L784" s="57"/>
      <c r="M784" s="57"/>
      <c r="N784" s="57"/>
      <c r="O784" s="57"/>
      <c r="P784" s="57"/>
      <c r="Q784" s="57"/>
      <c r="R784" s="57"/>
      <c r="S784" s="57"/>
      <c r="T784" s="57"/>
      <c r="U784" s="57"/>
      <c r="V784" s="57"/>
      <c r="W784" s="57"/>
      <c r="X784" s="57"/>
      <c r="Y784" s="98"/>
      <c r="AA784" s="98"/>
      <c r="AR784" s="98"/>
      <c r="AS784" s="57"/>
      <c r="AU784" s="57"/>
      <c r="BF784" s="98"/>
      <c r="BG784" s="98"/>
      <c r="BH784" s="98"/>
      <c r="BI784" s="98"/>
      <c r="BJ784" s="98"/>
      <c r="BK784" s="98"/>
      <c r="BL784" s="98"/>
      <c r="BM784" s="57"/>
    </row>
    <row r="785" spans="1:65" ht="11.25" x14ac:dyDescent="0.2">
      <c r="A785" s="57"/>
      <c r="B785" s="57"/>
      <c r="C785" s="57"/>
      <c r="D785" s="57"/>
      <c r="E785" s="57"/>
      <c r="F785" s="57"/>
      <c r="G785" s="57"/>
      <c r="H785" s="57"/>
      <c r="I785" s="57"/>
      <c r="J785" s="57"/>
      <c r="L785" s="57"/>
      <c r="M785" s="57"/>
      <c r="N785" s="57"/>
      <c r="O785" s="57"/>
      <c r="P785" s="57"/>
      <c r="Q785" s="57"/>
      <c r="R785" s="57"/>
      <c r="S785" s="57"/>
      <c r="T785" s="57"/>
      <c r="U785" s="57"/>
      <c r="V785" s="57"/>
      <c r="W785" s="57"/>
      <c r="X785" s="57"/>
      <c r="Y785" s="98"/>
      <c r="AA785" s="98"/>
      <c r="AR785" s="98"/>
      <c r="AS785" s="57"/>
      <c r="AU785" s="57"/>
      <c r="BF785" s="98"/>
      <c r="BG785" s="98"/>
      <c r="BH785" s="98"/>
      <c r="BI785" s="98"/>
      <c r="BJ785" s="98"/>
      <c r="BK785" s="98"/>
      <c r="BL785" s="98"/>
      <c r="BM785" s="57"/>
    </row>
    <row r="786" spans="1:65" ht="11.25" x14ac:dyDescent="0.2">
      <c r="A786" s="57"/>
      <c r="B786" s="57"/>
      <c r="C786" s="57"/>
      <c r="D786" s="57"/>
      <c r="E786" s="57"/>
      <c r="F786" s="57"/>
      <c r="G786" s="57"/>
      <c r="H786" s="57"/>
      <c r="I786" s="57"/>
      <c r="J786" s="57"/>
      <c r="L786" s="57"/>
      <c r="M786" s="57"/>
      <c r="N786" s="57"/>
      <c r="O786" s="57"/>
      <c r="P786" s="57"/>
      <c r="Q786" s="57"/>
      <c r="R786" s="57"/>
      <c r="S786" s="57"/>
      <c r="T786" s="57"/>
      <c r="U786" s="57"/>
      <c r="V786" s="57"/>
      <c r="W786" s="57"/>
      <c r="X786" s="57"/>
      <c r="Y786" s="98"/>
      <c r="AA786" s="98"/>
      <c r="AR786" s="98"/>
      <c r="AS786" s="57"/>
      <c r="AU786" s="57"/>
      <c r="BF786" s="98"/>
      <c r="BG786" s="98"/>
      <c r="BH786" s="98"/>
      <c r="BI786" s="98"/>
      <c r="BJ786" s="98"/>
      <c r="BK786" s="98"/>
      <c r="BL786" s="98"/>
      <c r="BM786" s="57"/>
    </row>
    <row r="787" spans="1:65" ht="11.25" x14ac:dyDescent="0.2">
      <c r="A787" s="57"/>
      <c r="B787" s="57"/>
      <c r="C787" s="57"/>
      <c r="D787" s="57"/>
      <c r="E787" s="57"/>
      <c r="F787" s="57"/>
      <c r="G787" s="57"/>
      <c r="H787" s="57"/>
      <c r="I787" s="57"/>
      <c r="J787" s="57"/>
      <c r="L787" s="57"/>
      <c r="M787" s="57"/>
      <c r="N787" s="57"/>
      <c r="O787" s="57"/>
      <c r="P787" s="57"/>
      <c r="Q787" s="57"/>
      <c r="R787" s="57"/>
      <c r="S787" s="57"/>
      <c r="T787" s="57"/>
      <c r="U787" s="57"/>
      <c r="V787" s="57"/>
      <c r="W787" s="57"/>
      <c r="X787" s="57"/>
      <c r="Y787" s="98"/>
      <c r="AA787" s="98"/>
      <c r="AR787" s="98"/>
      <c r="AS787" s="57"/>
      <c r="AU787" s="57"/>
      <c r="BF787" s="98"/>
      <c r="BG787" s="98"/>
      <c r="BH787" s="98"/>
      <c r="BI787" s="98"/>
      <c r="BJ787" s="98"/>
      <c r="BK787" s="98"/>
      <c r="BL787" s="98"/>
      <c r="BM787" s="57"/>
    </row>
    <row r="788" spans="1:65" ht="11.25" x14ac:dyDescent="0.2">
      <c r="A788" s="57"/>
      <c r="B788" s="57"/>
      <c r="C788" s="57"/>
      <c r="D788" s="57"/>
      <c r="E788" s="57"/>
      <c r="F788" s="57"/>
      <c r="G788" s="57"/>
      <c r="H788" s="57"/>
      <c r="I788" s="57"/>
      <c r="J788" s="57"/>
      <c r="L788" s="57"/>
      <c r="M788" s="57"/>
      <c r="N788" s="57"/>
      <c r="O788" s="57"/>
      <c r="P788" s="57"/>
      <c r="Q788" s="57"/>
      <c r="R788" s="57"/>
      <c r="S788" s="57"/>
      <c r="T788" s="57"/>
      <c r="U788" s="57"/>
      <c r="V788" s="57"/>
      <c r="W788" s="57"/>
      <c r="X788" s="57"/>
      <c r="Y788" s="98"/>
      <c r="AA788" s="98"/>
      <c r="AR788" s="98"/>
      <c r="AS788" s="57"/>
      <c r="AU788" s="57"/>
      <c r="BF788" s="98"/>
      <c r="BG788" s="98"/>
      <c r="BH788" s="98"/>
      <c r="BI788" s="98"/>
      <c r="BJ788" s="98"/>
      <c r="BK788" s="98"/>
      <c r="BL788" s="98"/>
      <c r="BM788" s="57"/>
    </row>
    <row r="789" spans="1:65" ht="11.25" x14ac:dyDescent="0.2">
      <c r="A789" s="57"/>
      <c r="B789" s="57"/>
      <c r="C789" s="57"/>
      <c r="D789" s="57"/>
      <c r="E789" s="57"/>
      <c r="F789" s="57"/>
      <c r="G789" s="57"/>
      <c r="H789" s="57"/>
      <c r="I789" s="57"/>
      <c r="J789" s="57"/>
      <c r="L789" s="57"/>
      <c r="M789" s="57"/>
      <c r="N789" s="57"/>
      <c r="O789" s="57"/>
      <c r="P789" s="57"/>
      <c r="Q789" s="57"/>
      <c r="R789" s="57"/>
      <c r="S789" s="57"/>
      <c r="T789" s="57"/>
      <c r="U789" s="57"/>
      <c r="V789" s="57"/>
      <c r="W789" s="57"/>
      <c r="X789" s="57"/>
      <c r="Y789" s="98"/>
      <c r="AA789" s="98"/>
      <c r="AR789" s="98"/>
      <c r="AS789" s="57"/>
      <c r="AU789" s="57"/>
      <c r="BF789" s="98"/>
      <c r="BG789" s="98"/>
      <c r="BH789" s="98"/>
      <c r="BI789" s="98"/>
      <c r="BJ789" s="98"/>
      <c r="BK789" s="98"/>
      <c r="BL789" s="98"/>
      <c r="BM789" s="57"/>
    </row>
    <row r="790" spans="1:65" ht="11.25" x14ac:dyDescent="0.2">
      <c r="A790" s="57"/>
      <c r="B790" s="57"/>
      <c r="C790" s="57"/>
      <c r="D790" s="57"/>
      <c r="E790" s="57"/>
      <c r="F790" s="57"/>
      <c r="G790" s="57"/>
      <c r="H790" s="57"/>
      <c r="I790" s="57"/>
      <c r="J790" s="57"/>
      <c r="L790" s="57"/>
      <c r="M790" s="57"/>
      <c r="N790" s="57"/>
      <c r="O790" s="57"/>
      <c r="P790" s="57"/>
      <c r="Q790" s="57"/>
      <c r="R790" s="57"/>
      <c r="S790" s="57"/>
      <c r="T790" s="57"/>
      <c r="U790" s="57"/>
      <c r="V790" s="57"/>
      <c r="W790" s="57"/>
      <c r="X790" s="57"/>
      <c r="Y790" s="98"/>
      <c r="AA790" s="98"/>
      <c r="AR790" s="98"/>
      <c r="AS790" s="57"/>
      <c r="AU790" s="57"/>
      <c r="BF790" s="98"/>
      <c r="BG790" s="98"/>
      <c r="BH790" s="98"/>
      <c r="BI790" s="98"/>
      <c r="BJ790" s="98"/>
      <c r="BK790" s="98"/>
      <c r="BL790" s="98"/>
      <c r="BM790" s="57"/>
    </row>
    <row r="791" spans="1:65" ht="11.25" x14ac:dyDescent="0.2">
      <c r="A791" s="57"/>
      <c r="B791" s="57"/>
      <c r="C791" s="57"/>
      <c r="D791" s="57"/>
      <c r="E791" s="57"/>
      <c r="F791" s="57"/>
      <c r="G791" s="57"/>
      <c r="H791" s="57"/>
      <c r="I791" s="57"/>
      <c r="J791" s="57"/>
      <c r="L791" s="57"/>
      <c r="M791" s="57"/>
      <c r="N791" s="57"/>
      <c r="O791" s="57"/>
      <c r="P791" s="57"/>
      <c r="Q791" s="57"/>
      <c r="R791" s="57"/>
      <c r="S791" s="57"/>
      <c r="T791" s="57"/>
      <c r="U791" s="57"/>
      <c r="V791" s="57"/>
      <c r="W791" s="57"/>
      <c r="X791" s="57"/>
      <c r="Y791" s="98"/>
      <c r="AA791" s="98"/>
      <c r="AR791" s="98"/>
      <c r="AS791" s="57"/>
      <c r="AU791" s="57"/>
      <c r="BF791" s="98"/>
      <c r="BG791" s="98"/>
      <c r="BH791" s="98"/>
      <c r="BI791" s="98"/>
      <c r="BJ791" s="98"/>
      <c r="BK791" s="98"/>
      <c r="BL791" s="98"/>
      <c r="BM791" s="57"/>
    </row>
    <row r="792" spans="1:65" ht="11.25" x14ac:dyDescent="0.2">
      <c r="A792" s="57"/>
      <c r="B792" s="57"/>
      <c r="C792" s="57"/>
      <c r="D792" s="57"/>
      <c r="E792" s="57"/>
      <c r="F792" s="57"/>
      <c r="G792" s="57"/>
      <c r="H792" s="57"/>
      <c r="I792" s="57"/>
      <c r="J792" s="57"/>
      <c r="L792" s="57"/>
      <c r="M792" s="57"/>
      <c r="N792" s="57"/>
      <c r="O792" s="57"/>
      <c r="P792" s="57"/>
      <c r="Q792" s="57"/>
      <c r="R792" s="57"/>
      <c r="S792" s="57"/>
      <c r="T792" s="57"/>
      <c r="U792" s="57"/>
      <c r="V792" s="57"/>
      <c r="W792" s="57"/>
      <c r="X792" s="57"/>
      <c r="Y792" s="98"/>
      <c r="AA792" s="98"/>
      <c r="AR792" s="98"/>
      <c r="AS792" s="57"/>
      <c r="AU792" s="57"/>
      <c r="BF792" s="98"/>
      <c r="BG792" s="98"/>
      <c r="BH792" s="98"/>
      <c r="BI792" s="98"/>
      <c r="BJ792" s="98"/>
      <c r="BK792" s="98"/>
      <c r="BL792" s="98"/>
      <c r="BM792" s="57"/>
    </row>
    <row r="793" spans="1:65" ht="11.25" x14ac:dyDescent="0.2">
      <c r="A793" s="57"/>
      <c r="B793" s="57"/>
      <c r="C793" s="57"/>
      <c r="D793" s="57"/>
      <c r="E793" s="57"/>
      <c r="F793" s="57"/>
      <c r="G793" s="57"/>
      <c r="H793" s="57"/>
      <c r="I793" s="57"/>
      <c r="J793" s="57"/>
      <c r="L793" s="57"/>
      <c r="M793" s="57"/>
      <c r="N793" s="57"/>
      <c r="O793" s="57"/>
      <c r="P793" s="57"/>
      <c r="Q793" s="57"/>
      <c r="R793" s="57"/>
      <c r="S793" s="57"/>
      <c r="T793" s="57"/>
      <c r="U793" s="57"/>
      <c r="V793" s="57"/>
      <c r="W793" s="57"/>
      <c r="X793" s="57"/>
      <c r="Y793" s="98"/>
      <c r="AA793" s="98"/>
      <c r="AR793" s="98"/>
      <c r="AS793" s="57"/>
      <c r="AU793" s="57"/>
      <c r="BF793" s="98"/>
      <c r="BG793" s="98"/>
      <c r="BH793" s="98"/>
      <c r="BI793" s="98"/>
      <c r="BJ793" s="98"/>
      <c r="BK793" s="98"/>
      <c r="BL793" s="98"/>
      <c r="BM793" s="57"/>
    </row>
    <row r="794" spans="1:65" ht="11.25" x14ac:dyDescent="0.2">
      <c r="A794" s="57"/>
      <c r="B794" s="57"/>
      <c r="C794" s="57"/>
      <c r="D794" s="57"/>
      <c r="E794" s="57"/>
      <c r="F794" s="57"/>
      <c r="G794" s="57"/>
      <c r="H794" s="57"/>
      <c r="I794" s="57"/>
      <c r="J794" s="57"/>
      <c r="L794" s="57"/>
      <c r="M794" s="57"/>
      <c r="N794" s="57"/>
      <c r="O794" s="57"/>
      <c r="P794" s="57"/>
      <c r="Q794" s="57"/>
      <c r="R794" s="57"/>
      <c r="S794" s="57"/>
      <c r="T794" s="57"/>
      <c r="U794" s="57"/>
      <c r="V794" s="57"/>
      <c r="W794" s="57"/>
      <c r="X794" s="57"/>
      <c r="Y794" s="98"/>
      <c r="AA794" s="98"/>
      <c r="AR794" s="98"/>
      <c r="AS794" s="57"/>
      <c r="AU794" s="57"/>
      <c r="BF794" s="98"/>
      <c r="BG794" s="98"/>
      <c r="BH794" s="98"/>
      <c r="BI794" s="98"/>
      <c r="BJ794" s="98"/>
      <c r="BK794" s="98"/>
      <c r="BL794" s="98"/>
      <c r="BM794" s="57"/>
    </row>
    <row r="795" spans="1:65" ht="11.25" x14ac:dyDescent="0.2">
      <c r="A795" s="57"/>
      <c r="B795" s="57"/>
      <c r="C795" s="57"/>
      <c r="D795" s="57"/>
      <c r="E795" s="57"/>
      <c r="F795" s="57"/>
      <c r="G795" s="57"/>
      <c r="H795" s="57"/>
      <c r="I795" s="57"/>
      <c r="J795" s="57"/>
      <c r="L795" s="57"/>
      <c r="M795" s="57"/>
      <c r="N795" s="57"/>
      <c r="O795" s="57"/>
      <c r="P795" s="57"/>
      <c r="Q795" s="57"/>
      <c r="R795" s="57"/>
      <c r="S795" s="57"/>
      <c r="T795" s="57"/>
      <c r="U795" s="57"/>
      <c r="V795" s="57"/>
      <c r="W795" s="57"/>
      <c r="X795" s="57"/>
      <c r="Y795" s="98"/>
      <c r="AA795" s="98"/>
      <c r="AR795" s="98"/>
      <c r="AS795" s="57"/>
      <c r="AU795" s="57"/>
      <c r="BF795" s="98"/>
      <c r="BG795" s="98"/>
      <c r="BH795" s="98"/>
      <c r="BI795" s="98"/>
      <c r="BJ795" s="98"/>
      <c r="BK795" s="98"/>
      <c r="BL795" s="98"/>
      <c r="BM795" s="57"/>
    </row>
    <row r="796" spans="1:65" ht="11.25" x14ac:dyDescent="0.2">
      <c r="A796" s="57"/>
      <c r="B796" s="57"/>
      <c r="C796" s="57"/>
      <c r="D796" s="57"/>
      <c r="E796" s="57"/>
      <c r="F796" s="57"/>
      <c r="G796" s="57"/>
      <c r="H796" s="57"/>
      <c r="I796" s="57"/>
      <c r="J796" s="57"/>
      <c r="L796" s="57"/>
      <c r="M796" s="57"/>
      <c r="N796" s="57"/>
      <c r="O796" s="57"/>
      <c r="P796" s="57"/>
      <c r="Q796" s="57"/>
      <c r="R796" s="57"/>
      <c r="S796" s="57"/>
      <c r="T796" s="57"/>
      <c r="U796" s="57"/>
      <c r="V796" s="57"/>
      <c r="W796" s="57"/>
      <c r="X796" s="57"/>
      <c r="Y796" s="98"/>
      <c r="AA796" s="98"/>
      <c r="AR796" s="98"/>
      <c r="AS796" s="57"/>
      <c r="AU796" s="57"/>
      <c r="BF796" s="98"/>
      <c r="BG796" s="98"/>
      <c r="BH796" s="98"/>
      <c r="BI796" s="98"/>
      <c r="BJ796" s="98"/>
      <c r="BK796" s="98"/>
      <c r="BL796" s="98"/>
      <c r="BM796" s="57"/>
    </row>
    <row r="797" spans="1:65" ht="11.25" x14ac:dyDescent="0.2">
      <c r="A797" s="57"/>
      <c r="B797" s="57"/>
      <c r="C797" s="57"/>
      <c r="D797" s="57"/>
      <c r="E797" s="57"/>
      <c r="F797" s="57"/>
      <c r="G797" s="57"/>
      <c r="H797" s="57"/>
      <c r="I797" s="57"/>
      <c r="J797" s="57"/>
      <c r="L797" s="57"/>
      <c r="M797" s="57"/>
      <c r="N797" s="57"/>
      <c r="O797" s="57"/>
      <c r="P797" s="57"/>
      <c r="Q797" s="57"/>
      <c r="R797" s="57"/>
      <c r="S797" s="57"/>
      <c r="T797" s="57"/>
      <c r="U797" s="57"/>
      <c r="V797" s="57"/>
      <c r="W797" s="57"/>
      <c r="X797" s="57"/>
      <c r="Y797" s="98"/>
      <c r="AA797" s="98"/>
      <c r="AR797" s="98"/>
      <c r="AS797" s="57"/>
      <c r="AU797" s="57"/>
      <c r="BF797" s="98"/>
      <c r="BG797" s="98"/>
      <c r="BH797" s="98"/>
      <c r="BI797" s="98"/>
      <c r="BJ797" s="98"/>
      <c r="BK797" s="98"/>
      <c r="BL797" s="98"/>
      <c r="BM797" s="57"/>
    </row>
    <row r="798" spans="1:65" ht="11.25" x14ac:dyDescent="0.2">
      <c r="A798" s="57"/>
      <c r="B798" s="57"/>
      <c r="C798" s="57"/>
      <c r="D798" s="57"/>
      <c r="E798" s="57"/>
      <c r="F798" s="57"/>
      <c r="G798" s="57"/>
      <c r="H798" s="57"/>
      <c r="I798" s="57"/>
      <c r="J798" s="57"/>
      <c r="L798" s="57"/>
      <c r="M798" s="57"/>
      <c r="N798" s="57"/>
      <c r="O798" s="57"/>
      <c r="P798" s="57"/>
      <c r="Q798" s="57"/>
      <c r="R798" s="57"/>
      <c r="S798" s="57"/>
      <c r="T798" s="57"/>
      <c r="U798" s="57"/>
      <c r="V798" s="57"/>
      <c r="W798" s="57"/>
      <c r="X798" s="57"/>
      <c r="Y798" s="98"/>
      <c r="AA798" s="98"/>
      <c r="AR798" s="98"/>
      <c r="AS798" s="57"/>
      <c r="AU798" s="57"/>
      <c r="BF798" s="98"/>
      <c r="BG798" s="98"/>
      <c r="BH798" s="98"/>
      <c r="BI798" s="98"/>
      <c r="BJ798" s="98"/>
      <c r="BK798" s="98"/>
      <c r="BL798" s="98"/>
      <c r="BM798" s="57"/>
    </row>
    <row r="799" spans="1:65" ht="11.25" x14ac:dyDescent="0.2">
      <c r="A799" s="57"/>
      <c r="B799" s="57"/>
      <c r="C799" s="57"/>
      <c r="D799" s="57"/>
      <c r="E799" s="57"/>
      <c r="F799" s="57"/>
      <c r="G799" s="57"/>
      <c r="H799" s="57"/>
      <c r="I799" s="57"/>
      <c r="J799" s="57"/>
      <c r="L799" s="57"/>
      <c r="M799" s="57"/>
      <c r="N799" s="57"/>
      <c r="O799" s="57"/>
      <c r="P799" s="57"/>
      <c r="Q799" s="57"/>
      <c r="R799" s="57"/>
      <c r="S799" s="57"/>
      <c r="T799" s="57"/>
      <c r="U799" s="57"/>
      <c r="V799" s="57"/>
      <c r="W799" s="57"/>
      <c r="X799" s="57"/>
      <c r="Y799" s="98"/>
      <c r="AA799" s="98"/>
      <c r="AR799" s="98"/>
      <c r="AS799" s="57"/>
      <c r="AU799" s="57"/>
      <c r="BF799" s="98"/>
      <c r="BG799" s="98"/>
      <c r="BH799" s="98"/>
      <c r="BI799" s="98"/>
      <c r="BJ799" s="98"/>
      <c r="BK799" s="98"/>
      <c r="BL799" s="98"/>
      <c r="BM799" s="57"/>
    </row>
    <row r="800" spans="1:65" ht="11.25" x14ac:dyDescent="0.2">
      <c r="A800" s="57"/>
      <c r="B800" s="57"/>
      <c r="C800" s="57"/>
      <c r="D800" s="57"/>
      <c r="E800" s="57"/>
      <c r="F800" s="57"/>
      <c r="G800" s="57"/>
      <c r="H800" s="57"/>
      <c r="I800" s="57"/>
      <c r="J800" s="57"/>
      <c r="L800" s="57"/>
      <c r="M800" s="57"/>
      <c r="N800" s="57"/>
      <c r="O800" s="57"/>
      <c r="P800" s="57"/>
      <c r="Q800" s="57"/>
      <c r="R800" s="57"/>
      <c r="S800" s="57"/>
      <c r="T800" s="57"/>
      <c r="U800" s="57"/>
      <c r="V800" s="57"/>
      <c r="W800" s="57"/>
      <c r="X800" s="57"/>
      <c r="Y800" s="98"/>
      <c r="AA800" s="98"/>
      <c r="AR800" s="98"/>
      <c r="AS800" s="57"/>
      <c r="AU800" s="57"/>
      <c r="BF800" s="98"/>
      <c r="BG800" s="98"/>
      <c r="BH800" s="98"/>
      <c r="BI800" s="98"/>
      <c r="BJ800" s="98"/>
      <c r="BK800" s="98"/>
      <c r="BL800" s="98"/>
      <c r="BM800" s="57"/>
    </row>
    <row r="801" spans="1:65" ht="11.25" x14ac:dyDescent="0.2">
      <c r="A801" s="57"/>
      <c r="B801" s="57"/>
      <c r="C801" s="57"/>
      <c r="D801" s="57"/>
      <c r="E801" s="57"/>
      <c r="F801" s="57"/>
      <c r="G801" s="57"/>
      <c r="H801" s="57"/>
      <c r="I801" s="57"/>
      <c r="J801" s="57"/>
      <c r="L801" s="57"/>
      <c r="M801" s="57"/>
      <c r="N801" s="57"/>
      <c r="O801" s="57"/>
      <c r="P801" s="57"/>
      <c r="Q801" s="57"/>
      <c r="R801" s="57"/>
      <c r="S801" s="57"/>
      <c r="T801" s="57"/>
      <c r="U801" s="57"/>
      <c r="V801" s="57"/>
      <c r="W801" s="57"/>
      <c r="X801" s="57"/>
      <c r="Y801" s="98"/>
      <c r="AA801" s="98"/>
      <c r="AR801" s="98"/>
      <c r="AS801" s="57"/>
      <c r="AU801" s="57"/>
      <c r="BF801" s="98"/>
      <c r="BG801" s="98"/>
      <c r="BH801" s="98"/>
      <c r="BI801" s="98"/>
      <c r="BJ801" s="98"/>
      <c r="BK801" s="98"/>
      <c r="BL801" s="98"/>
      <c r="BM801" s="57"/>
    </row>
    <row r="802" spans="1:65" ht="11.25" x14ac:dyDescent="0.2">
      <c r="A802" s="57"/>
      <c r="B802" s="57"/>
      <c r="C802" s="57"/>
      <c r="D802" s="57"/>
      <c r="E802" s="57"/>
      <c r="F802" s="57"/>
      <c r="G802" s="57"/>
      <c r="H802" s="57"/>
      <c r="I802" s="57"/>
      <c r="J802" s="57"/>
      <c r="L802" s="57"/>
      <c r="M802" s="57"/>
      <c r="N802" s="57"/>
      <c r="O802" s="57"/>
      <c r="P802" s="57"/>
      <c r="Q802" s="57"/>
      <c r="R802" s="57"/>
      <c r="S802" s="57"/>
      <c r="T802" s="57"/>
      <c r="U802" s="57"/>
      <c r="V802" s="57"/>
      <c r="W802" s="57"/>
      <c r="X802" s="57"/>
      <c r="Y802" s="98"/>
      <c r="AA802" s="98"/>
      <c r="AR802" s="98"/>
      <c r="AS802" s="57"/>
      <c r="AU802" s="57"/>
      <c r="BF802" s="98"/>
      <c r="BG802" s="98"/>
      <c r="BH802" s="98"/>
      <c r="BI802" s="98"/>
      <c r="BJ802" s="98"/>
      <c r="BK802" s="98"/>
      <c r="BL802" s="98"/>
      <c r="BM802" s="57"/>
    </row>
    <row r="803" spans="1:65" ht="11.25" x14ac:dyDescent="0.2">
      <c r="A803" s="57"/>
      <c r="B803" s="57"/>
      <c r="C803" s="57"/>
      <c r="D803" s="57"/>
      <c r="E803" s="57"/>
      <c r="F803" s="57"/>
      <c r="G803" s="57"/>
      <c r="H803" s="57"/>
      <c r="I803" s="57"/>
      <c r="J803" s="57"/>
      <c r="L803" s="57"/>
      <c r="M803" s="57"/>
      <c r="N803" s="57"/>
      <c r="O803" s="57"/>
      <c r="P803" s="57"/>
      <c r="Q803" s="57"/>
      <c r="R803" s="57"/>
      <c r="S803" s="57"/>
      <c r="T803" s="57"/>
      <c r="U803" s="57"/>
      <c r="V803" s="57"/>
      <c r="W803" s="57"/>
      <c r="X803" s="57"/>
      <c r="Y803" s="98"/>
      <c r="AA803" s="98"/>
      <c r="AR803" s="98"/>
      <c r="AS803" s="57"/>
      <c r="AU803" s="57"/>
      <c r="BF803" s="98"/>
      <c r="BG803" s="98"/>
      <c r="BH803" s="98"/>
      <c r="BI803" s="98"/>
      <c r="BJ803" s="98"/>
      <c r="BK803" s="98"/>
      <c r="BL803" s="98"/>
      <c r="BM803" s="57"/>
    </row>
    <row r="804" spans="1:65" ht="11.25" x14ac:dyDescent="0.2">
      <c r="A804" s="57"/>
      <c r="B804" s="57"/>
      <c r="C804" s="57"/>
      <c r="D804" s="57"/>
      <c r="E804" s="57"/>
      <c r="F804" s="57"/>
      <c r="G804" s="57"/>
      <c r="H804" s="57"/>
      <c r="I804" s="57"/>
      <c r="J804" s="57"/>
      <c r="L804" s="57"/>
      <c r="M804" s="57"/>
      <c r="N804" s="57"/>
      <c r="O804" s="57"/>
      <c r="P804" s="57"/>
      <c r="Q804" s="57"/>
      <c r="R804" s="57"/>
      <c r="S804" s="57"/>
      <c r="T804" s="57"/>
      <c r="U804" s="57"/>
      <c r="V804" s="57"/>
      <c r="W804" s="57"/>
      <c r="X804" s="57"/>
      <c r="Y804" s="98"/>
      <c r="AA804" s="98"/>
      <c r="AR804" s="98"/>
      <c r="AS804" s="57"/>
      <c r="AU804" s="57"/>
      <c r="BF804" s="98"/>
      <c r="BG804" s="98"/>
      <c r="BH804" s="98"/>
      <c r="BI804" s="98"/>
      <c r="BJ804" s="98"/>
      <c r="BK804" s="98"/>
      <c r="BL804" s="98"/>
      <c r="BM804" s="57"/>
    </row>
    <row r="805" spans="1:65" ht="11.25" x14ac:dyDescent="0.2">
      <c r="A805" s="57"/>
      <c r="B805" s="57"/>
      <c r="C805" s="57"/>
      <c r="D805" s="57"/>
      <c r="E805" s="57"/>
      <c r="F805" s="57"/>
      <c r="G805" s="57"/>
      <c r="H805" s="57"/>
      <c r="I805" s="57"/>
      <c r="J805" s="57"/>
      <c r="L805" s="57"/>
      <c r="M805" s="57"/>
      <c r="N805" s="57"/>
      <c r="O805" s="57"/>
      <c r="P805" s="57"/>
      <c r="Q805" s="57"/>
      <c r="R805" s="57"/>
      <c r="S805" s="57"/>
      <c r="T805" s="57"/>
      <c r="U805" s="57"/>
      <c r="V805" s="57"/>
      <c r="W805" s="57"/>
      <c r="X805" s="57"/>
      <c r="Y805" s="98"/>
      <c r="AA805" s="98"/>
      <c r="AR805" s="98"/>
      <c r="AS805" s="57"/>
      <c r="AU805" s="57"/>
      <c r="BF805" s="98"/>
      <c r="BG805" s="98"/>
      <c r="BH805" s="98"/>
      <c r="BI805" s="98"/>
      <c r="BJ805" s="98"/>
      <c r="BK805" s="98"/>
      <c r="BL805" s="98"/>
      <c r="BM805" s="57"/>
    </row>
    <row r="806" spans="1:65" ht="11.25" x14ac:dyDescent="0.2">
      <c r="A806" s="57"/>
      <c r="B806" s="57"/>
      <c r="C806" s="57"/>
      <c r="D806" s="57"/>
      <c r="E806" s="57"/>
      <c r="F806" s="57"/>
      <c r="G806" s="57"/>
      <c r="H806" s="57"/>
      <c r="I806" s="57"/>
      <c r="J806" s="57"/>
      <c r="L806" s="57"/>
      <c r="M806" s="57"/>
      <c r="N806" s="57"/>
      <c r="O806" s="57"/>
      <c r="P806" s="57"/>
      <c r="Q806" s="57"/>
      <c r="R806" s="57"/>
      <c r="S806" s="57"/>
      <c r="T806" s="57"/>
      <c r="U806" s="57"/>
      <c r="V806" s="57"/>
      <c r="W806" s="57"/>
      <c r="X806" s="57"/>
      <c r="Y806" s="98"/>
      <c r="AA806" s="98"/>
      <c r="AR806" s="98"/>
      <c r="AS806" s="57"/>
      <c r="AU806" s="57"/>
      <c r="BF806" s="98"/>
      <c r="BG806" s="98"/>
      <c r="BH806" s="98"/>
      <c r="BI806" s="98"/>
      <c r="BJ806" s="98"/>
      <c r="BK806" s="98"/>
      <c r="BL806" s="98"/>
      <c r="BM806" s="57"/>
    </row>
    <row r="807" spans="1:65" ht="11.25" x14ac:dyDescent="0.2">
      <c r="A807" s="57"/>
      <c r="B807" s="57"/>
      <c r="C807" s="57"/>
      <c r="D807" s="57"/>
      <c r="E807" s="57"/>
      <c r="F807" s="57"/>
      <c r="G807" s="57"/>
      <c r="H807" s="57"/>
      <c r="I807" s="57"/>
      <c r="J807" s="57"/>
      <c r="L807" s="57"/>
      <c r="M807" s="57"/>
      <c r="N807" s="57"/>
      <c r="O807" s="57"/>
      <c r="P807" s="57"/>
      <c r="Q807" s="57"/>
      <c r="R807" s="57"/>
      <c r="S807" s="57"/>
      <c r="T807" s="57"/>
      <c r="U807" s="57"/>
      <c r="V807" s="57"/>
      <c r="W807" s="57"/>
      <c r="X807" s="57"/>
      <c r="Y807" s="98"/>
      <c r="AA807" s="98"/>
      <c r="AR807" s="98"/>
      <c r="AS807" s="57"/>
      <c r="AU807" s="57"/>
      <c r="BF807" s="98"/>
      <c r="BG807" s="98"/>
      <c r="BH807" s="98"/>
      <c r="BI807" s="98"/>
      <c r="BJ807" s="98"/>
      <c r="BK807" s="98"/>
      <c r="BL807" s="98"/>
      <c r="BM807" s="57"/>
    </row>
    <row r="808" spans="1:65" ht="11.25" x14ac:dyDescent="0.2">
      <c r="A808" s="57"/>
      <c r="B808" s="57"/>
      <c r="C808" s="57"/>
      <c r="D808" s="57"/>
      <c r="E808" s="57"/>
      <c r="F808" s="57"/>
      <c r="G808" s="57"/>
      <c r="H808" s="57"/>
      <c r="I808" s="57"/>
      <c r="J808" s="57"/>
      <c r="L808" s="57"/>
      <c r="M808" s="57"/>
      <c r="N808" s="57"/>
      <c r="O808" s="57"/>
      <c r="P808" s="57"/>
      <c r="Q808" s="57"/>
      <c r="R808" s="57"/>
      <c r="S808" s="57"/>
      <c r="T808" s="57"/>
      <c r="U808" s="57"/>
      <c r="V808" s="57"/>
      <c r="W808" s="57"/>
      <c r="X808" s="57"/>
      <c r="Y808" s="98"/>
      <c r="AA808" s="98"/>
      <c r="AR808" s="98"/>
      <c r="AS808" s="57"/>
      <c r="AU808" s="57"/>
      <c r="BF808" s="98"/>
      <c r="BG808" s="98"/>
      <c r="BH808" s="98"/>
      <c r="BI808" s="98"/>
      <c r="BJ808" s="98"/>
      <c r="BK808" s="98"/>
      <c r="BL808" s="98"/>
      <c r="BM808" s="57"/>
    </row>
    <row r="809" spans="1:65" ht="11.25" x14ac:dyDescent="0.2">
      <c r="A809" s="57"/>
      <c r="B809" s="57"/>
      <c r="C809" s="57"/>
      <c r="D809" s="57"/>
      <c r="E809" s="57"/>
      <c r="F809" s="57"/>
      <c r="G809" s="57"/>
      <c r="H809" s="57"/>
      <c r="I809" s="57"/>
      <c r="J809" s="57"/>
      <c r="L809" s="57"/>
      <c r="M809" s="57"/>
      <c r="N809" s="57"/>
      <c r="O809" s="57"/>
      <c r="P809" s="57"/>
      <c r="Q809" s="57"/>
      <c r="R809" s="57"/>
      <c r="S809" s="57"/>
      <c r="T809" s="57"/>
      <c r="U809" s="57"/>
      <c r="V809" s="57"/>
      <c r="W809" s="57"/>
      <c r="X809" s="57"/>
      <c r="Y809" s="98"/>
      <c r="AA809" s="98"/>
      <c r="AR809" s="98"/>
      <c r="AS809" s="57"/>
      <c r="AU809" s="57"/>
      <c r="BF809" s="98"/>
      <c r="BG809" s="98"/>
      <c r="BH809" s="98"/>
      <c r="BI809" s="98"/>
      <c r="BJ809" s="98"/>
      <c r="BK809" s="98"/>
      <c r="BL809" s="98"/>
      <c r="BM809" s="57"/>
    </row>
    <row r="810" spans="1:65" ht="11.25" x14ac:dyDescent="0.2">
      <c r="A810" s="57"/>
      <c r="B810" s="57"/>
      <c r="C810" s="57"/>
      <c r="D810" s="57"/>
      <c r="E810" s="57"/>
      <c r="F810" s="57"/>
      <c r="G810" s="57"/>
      <c r="H810" s="57"/>
      <c r="I810" s="57"/>
      <c r="J810" s="57"/>
      <c r="L810" s="57"/>
      <c r="M810" s="57"/>
      <c r="N810" s="57"/>
      <c r="O810" s="57"/>
      <c r="P810" s="57"/>
      <c r="Q810" s="57"/>
      <c r="R810" s="57"/>
      <c r="S810" s="57"/>
      <c r="T810" s="57"/>
      <c r="U810" s="57"/>
      <c r="V810" s="57"/>
      <c r="W810" s="57"/>
      <c r="X810" s="57"/>
      <c r="Y810" s="98"/>
      <c r="AA810" s="98"/>
      <c r="AR810" s="98"/>
      <c r="AS810" s="57"/>
      <c r="AU810" s="57"/>
      <c r="BF810" s="98"/>
      <c r="BG810" s="98"/>
      <c r="BH810" s="98"/>
      <c r="BI810" s="98"/>
      <c r="BJ810" s="98"/>
      <c r="BK810" s="98"/>
      <c r="BL810" s="98"/>
      <c r="BM810" s="57"/>
    </row>
    <row r="811" spans="1:65" ht="11.25" x14ac:dyDescent="0.2">
      <c r="A811" s="57"/>
      <c r="B811" s="57"/>
      <c r="C811" s="57"/>
      <c r="D811" s="57"/>
      <c r="E811" s="57"/>
      <c r="F811" s="57"/>
      <c r="G811" s="57"/>
      <c r="H811" s="57"/>
      <c r="I811" s="57"/>
      <c r="J811" s="57"/>
      <c r="L811" s="57"/>
      <c r="M811" s="57"/>
      <c r="N811" s="57"/>
      <c r="O811" s="57"/>
      <c r="P811" s="57"/>
      <c r="Q811" s="57"/>
      <c r="R811" s="57"/>
      <c r="S811" s="57"/>
      <c r="T811" s="57"/>
      <c r="U811" s="57"/>
      <c r="V811" s="57"/>
      <c r="W811" s="57"/>
      <c r="X811" s="57"/>
      <c r="Y811" s="98"/>
      <c r="AA811" s="98"/>
      <c r="AR811" s="98"/>
      <c r="AS811" s="57"/>
      <c r="AU811" s="57"/>
      <c r="BF811" s="98"/>
      <c r="BG811" s="98"/>
      <c r="BH811" s="98"/>
      <c r="BI811" s="98"/>
      <c r="BJ811" s="98"/>
      <c r="BK811" s="98"/>
      <c r="BL811" s="98"/>
      <c r="BM811" s="57"/>
    </row>
    <row r="812" spans="1:65" ht="11.25" x14ac:dyDescent="0.2">
      <c r="A812" s="57"/>
      <c r="B812" s="57"/>
      <c r="C812" s="57"/>
      <c r="D812" s="57"/>
      <c r="E812" s="57"/>
      <c r="F812" s="57"/>
      <c r="G812" s="57"/>
      <c r="H812" s="57"/>
      <c r="I812" s="57"/>
      <c r="J812" s="57"/>
      <c r="L812" s="57"/>
      <c r="M812" s="57"/>
      <c r="N812" s="57"/>
      <c r="O812" s="57"/>
      <c r="P812" s="57"/>
      <c r="Q812" s="57"/>
      <c r="R812" s="57"/>
      <c r="S812" s="57"/>
      <c r="T812" s="57"/>
      <c r="U812" s="57"/>
      <c r="V812" s="57"/>
      <c r="W812" s="57"/>
      <c r="X812" s="57"/>
      <c r="Y812" s="98"/>
      <c r="AA812" s="98"/>
      <c r="AR812" s="98"/>
      <c r="AS812" s="57"/>
      <c r="AU812" s="57"/>
      <c r="BF812" s="98"/>
      <c r="BG812" s="98"/>
      <c r="BH812" s="98"/>
      <c r="BI812" s="98"/>
      <c r="BJ812" s="98"/>
      <c r="BK812" s="98"/>
      <c r="BL812" s="98"/>
      <c r="BM812" s="57"/>
    </row>
    <row r="813" spans="1:65" ht="11.25" x14ac:dyDescent="0.2">
      <c r="A813" s="57"/>
      <c r="B813" s="57"/>
      <c r="C813" s="57"/>
      <c r="D813" s="57"/>
      <c r="E813" s="57"/>
      <c r="F813" s="57"/>
      <c r="G813" s="57"/>
      <c r="H813" s="57"/>
      <c r="I813" s="57"/>
      <c r="J813" s="57"/>
      <c r="L813" s="57"/>
      <c r="M813" s="57"/>
      <c r="N813" s="57"/>
      <c r="O813" s="57"/>
      <c r="P813" s="57"/>
      <c r="Q813" s="57"/>
      <c r="R813" s="57"/>
      <c r="S813" s="57"/>
      <c r="T813" s="57"/>
      <c r="U813" s="57"/>
      <c r="V813" s="57"/>
      <c r="W813" s="57"/>
      <c r="X813" s="57"/>
      <c r="Y813" s="98"/>
      <c r="AA813" s="98"/>
      <c r="AR813" s="98"/>
      <c r="AS813" s="57"/>
      <c r="AU813" s="57"/>
      <c r="BF813" s="98"/>
      <c r="BG813" s="98"/>
      <c r="BH813" s="98"/>
      <c r="BI813" s="98"/>
      <c r="BJ813" s="98"/>
      <c r="BK813" s="98"/>
      <c r="BL813" s="98"/>
      <c r="BM813" s="57"/>
    </row>
    <row r="814" spans="1:65" ht="11.25" x14ac:dyDescent="0.2">
      <c r="A814" s="57"/>
      <c r="B814" s="57"/>
      <c r="C814" s="57"/>
      <c r="D814" s="57"/>
      <c r="E814" s="57"/>
      <c r="F814" s="57"/>
      <c r="G814" s="57"/>
      <c r="H814" s="57"/>
      <c r="I814" s="57"/>
      <c r="J814" s="57"/>
      <c r="L814" s="57"/>
      <c r="M814" s="57"/>
      <c r="N814" s="57"/>
      <c r="O814" s="57"/>
      <c r="P814" s="57"/>
      <c r="Q814" s="57"/>
      <c r="R814" s="57"/>
      <c r="S814" s="57"/>
      <c r="T814" s="57"/>
      <c r="U814" s="57"/>
      <c r="V814" s="57"/>
      <c r="W814" s="57"/>
      <c r="X814" s="57"/>
      <c r="Y814" s="98"/>
      <c r="AA814" s="98"/>
      <c r="AR814" s="98"/>
      <c r="AS814" s="57"/>
      <c r="AU814" s="57"/>
      <c r="BF814" s="98"/>
      <c r="BG814" s="98"/>
      <c r="BH814" s="98"/>
      <c r="BI814" s="98"/>
      <c r="BJ814" s="98"/>
      <c r="BK814" s="98"/>
      <c r="BL814" s="98"/>
      <c r="BM814" s="57"/>
    </row>
    <row r="815" spans="1:65" ht="11.25" x14ac:dyDescent="0.2">
      <c r="A815" s="57"/>
      <c r="B815" s="57"/>
      <c r="C815" s="57"/>
      <c r="D815" s="57"/>
      <c r="E815" s="57"/>
      <c r="F815" s="57"/>
      <c r="G815" s="57"/>
      <c r="H815" s="57"/>
      <c r="I815" s="57"/>
      <c r="J815" s="57"/>
      <c r="L815" s="57"/>
      <c r="M815" s="57"/>
      <c r="N815" s="57"/>
      <c r="O815" s="57"/>
      <c r="P815" s="57"/>
      <c r="Q815" s="57"/>
      <c r="R815" s="57"/>
      <c r="S815" s="57"/>
      <c r="T815" s="57"/>
      <c r="U815" s="57"/>
      <c r="V815" s="57"/>
      <c r="W815" s="57"/>
      <c r="X815" s="57"/>
      <c r="Y815" s="98"/>
      <c r="AA815" s="98"/>
      <c r="AR815" s="98"/>
      <c r="AS815" s="57"/>
      <c r="AU815" s="57"/>
      <c r="BF815" s="98"/>
      <c r="BG815" s="98"/>
      <c r="BH815" s="98"/>
      <c r="BI815" s="98"/>
      <c r="BJ815" s="98"/>
      <c r="BK815" s="98"/>
      <c r="BL815" s="98"/>
      <c r="BM815" s="57"/>
    </row>
    <row r="816" spans="1:65" ht="11.25" x14ac:dyDescent="0.2">
      <c r="A816" s="57"/>
      <c r="B816" s="57"/>
      <c r="C816" s="57"/>
      <c r="D816" s="57"/>
      <c r="E816" s="57"/>
      <c r="F816" s="57"/>
      <c r="G816" s="57"/>
      <c r="H816" s="57"/>
      <c r="I816" s="57"/>
      <c r="J816" s="57"/>
      <c r="L816" s="57"/>
      <c r="M816" s="57"/>
      <c r="N816" s="57"/>
      <c r="O816" s="57"/>
      <c r="P816" s="57"/>
      <c r="Q816" s="57"/>
      <c r="R816" s="57"/>
      <c r="S816" s="57"/>
      <c r="T816" s="57"/>
      <c r="U816" s="57"/>
      <c r="V816" s="57"/>
      <c r="W816" s="57"/>
      <c r="X816" s="57"/>
      <c r="Y816" s="98"/>
      <c r="AA816" s="98"/>
      <c r="AR816" s="98"/>
      <c r="AS816" s="57"/>
      <c r="AU816" s="57"/>
      <c r="BF816" s="98"/>
      <c r="BG816" s="98"/>
      <c r="BH816" s="98"/>
      <c r="BI816" s="98"/>
      <c r="BJ816" s="98"/>
      <c r="BK816" s="98"/>
      <c r="BL816" s="98"/>
      <c r="BM816" s="57"/>
    </row>
    <row r="817" spans="1:65" ht="11.25" x14ac:dyDescent="0.2">
      <c r="A817" s="57"/>
      <c r="B817" s="57"/>
      <c r="C817" s="57"/>
      <c r="D817" s="57"/>
      <c r="E817" s="57"/>
      <c r="F817" s="57"/>
      <c r="G817" s="57"/>
      <c r="H817" s="57"/>
      <c r="I817" s="57"/>
      <c r="J817" s="57"/>
      <c r="L817" s="57"/>
      <c r="M817" s="57"/>
      <c r="N817" s="57"/>
      <c r="O817" s="57"/>
      <c r="P817" s="57"/>
      <c r="Q817" s="57"/>
      <c r="R817" s="57"/>
      <c r="S817" s="57"/>
      <c r="T817" s="57"/>
      <c r="U817" s="57"/>
      <c r="V817" s="57"/>
      <c r="W817" s="57"/>
      <c r="X817" s="57"/>
      <c r="Y817" s="98"/>
      <c r="AA817" s="98"/>
      <c r="AR817" s="98"/>
      <c r="AS817" s="57"/>
      <c r="AU817" s="57"/>
      <c r="BF817" s="98"/>
      <c r="BG817" s="98"/>
      <c r="BH817" s="98"/>
      <c r="BI817" s="98"/>
      <c r="BJ817" s="98"/>
      <c r="BK817" s="98"/>
      <c r="BL817" s="98"/>
      <c r="BM817" s="57"/>
    </row>
    <row r="818" spans="1:65" ht="11.25" x14ac:dyDescent="0.2">
      <c r="A818" s="57"/>
      <c r="B818" s="57"/>
      <c r="C818" s="57"/>
      <c r="D818" s="57"/>
      <c r="E818" s="57"/>
      <c r="F818" s="57"/>
      <c r="G818" s="57"/>
      <c r="H818" s="57"/>
      <c r="I818" s="57"/>
      <c r="J818" s="57"/>
      <c r="L818" s="57"/>
      <c r="M818" s="57"/>
      <c r="N818" s="57"/>
      <c r="O818" s="57"/>
      <c r="P818" s="57"/>
      <c r="Q818" s="57"/>
      <c r="R818" s="57"/>
      <c r="S818" s="57"/>
      <c r="T818" s="57"/>
      <c r="U818" s="57"/>
      <c r="V818" s="57"/>
      <c r="W818" s="57"/>
      <c r="X818" s="57"/>
      <c r="Y818" s="98"/>
      <c r="AA818" s="98"/>
      <c r="AR818" s="98"/>
      <c r="AS818" s="57"/>
      <c r="AU818" s="57"/>
      <c r="BF818" s="98"/>
      <c r="BG818" s="98"/>
      <c r="BH818" s="98"/>
      <c r="BI818" s="98"/>
      <c r="BJ818" s="98"/>
      <c r="BK818" s="98"/>
      <c r="BL818" s="98"/>
      <c r="BM818" s="57"/>
    </row>
    <row r="819" spans="1:65" ht="11.25" x14ac:dyDescent="0.2">
      <c r="A819" s="57"/>
      <c r="B819" s="57"/>
      <c r="C819" s="57"/>
      <c r="D819" s="57"/>
      <c r="E819" s="57"/>
      <c r="F819" s="57"/>
      <c r="G819" s="57"/>
      <c r="H819" s="57"/>
      <c r="I819" s="57"/>
      <c r="J819" s="57"/>
      <c r="L819" s="57"/>
      <c r="M819" s="57"/>
      <c r="N819" s="57"/>
      <c r="O819" s="57"/>
      <c r="P819" s="57"/>
      <c r="Q819" s="57"/>
      <c r="R819" s="57"/>
      <c r="S819" s="57"/>
      <c r="T819" s="57"/>
      <c r="U819" s="57"/>
      <c r="V819" s="57"/>
      <c r="W819" s="57"/>
      <c r="X819" s="57"/>
      <c r="Y819" s="98"/>
      <c r="AA819" s="98"/>
      <c r="AR819" s="98"/>
      <c r="AS819" s="57"/>
      <c r="AU819" s="57"/>
      <c r="BF819" s="98"/>
      <c r="BG819" s="98"/>
      <c r="BH819" s="98"/>
      <c r="BI819" s="98"/>
      <c r="BJ819" s="98"/>
      <c r="BK819" s="98"/>
      <c r="BL819" s="98"/>
      <c r="BM819" s="57"/>
    </row>
    <row r="820" spans="1:65" ht="11.25" x14ac:dyDescent="0.2">
      <c r="A820" s="57"/>
      <c r="B820" s="57"/>
      <c r="C820" s="57"/>
      <c r="D820" s="57"/>
      <c r="E820" s="57"/>
      <c r="F820" s="57"/>
      <c r="G820" s="57"/>
      <c r="H820" s="57"/>
      <c r="I820" s="57"/>
      <c r="J820" s="57"/>
      <c r="L820" s="57"/>
      <c r="M820" s="57"/>
      <c r="N820" s="57"/>
      <c r="O820" s="57"/>
      <c r="P820" s="57"/>
      <c r="Q820" s="57"/>
      <c r="R820" s="57"/>
      <c r="S820" s="57"/>
      <c r="T820" s="57"/>
      <c r="U820" s="57"/>
      <c r="V820" s="57"/>
      <c r="W820" s="57"/>
      <c r="X820" s="57"/>
      <c r="Y820" s="98"/>
      <c r="AA820" s="98"/>
      <c r="AR820" s="98"/>
      <c r="AS820" s="57"/>
      <c r="AU820" s="57"/>
      <c r="BF820" s="98"/>
      <c r="BG820" s="98"/>
      <c r="BH820" s="98"/>
      <c r="BI820" s="98"/>
      <c r="BJ820" s="98"/>
      <c r="BK820" s="98"/>
      <c r="BL820" s="98"/>
      <c r="BM820" s="57"/>
    </row>
    <row r="821" spans="1:65" ht="11.25" x14ac:dyDescent="0.2">
      <c r="A821" s="57"/>
      <c r="B821" s="57"/>
      <c r="C821" s="57"/>
      <c r="D821" s="57"/>
      <c r="E821" s="57"/>
      <c r="F821" s="57"/>
      <c r="G821" s="57"/>
      <c r="H821" s="57"/>
      <c r="I821" s="57"/>
      <c r="J821" s="57"/>
      <c r="L821" s="57"/>
      <c r="M821" s="57"/>
      <c r="N821" s="57"/>
      <c r="O821" s="57"/>
      <c r="P821" s="57"/>
      <c r="Q821" s="57"/>
      <c r="R821" s="57"/>
      <c r="S821" s="57"/>
      <c r="T821" s="57"/>
      <c r="U821" s="57"/>
      <c r="V821" s="57"/>
      <c r="W821" s="57"/>
      <c r="X821" s="57"/>
      <c r="Y821" s="98"/>
      <c r="AA821" s="98"/>
      <c r="AR821" s="98"/>
      <c r="AS821" s="57"/>
      <c r="AU821" s="57"/>
      <c r="BF821" s="98"/>
      <c r="BG821" s="98"/>
      <c r="BH821" s="98"/>
      <c r="BI821" s="98"/>
      <c r="BJ821" s="98"/>
      <c r="BK821" s="98"/>
      <c r="BL821" s="98"/>
      <c r="BM821" s="57"/>
    </row>
    <row r="822" spans="1:65" ht="11.25" x14ac:dyDescent="0.2">
      <c r="A822" s="57"/>
      <c r="B822" s="57"/>
      <c r="C822" s="57"/>
      <c r="D822" s="57"/>
      <c r="E822" s="57"/>
      <c r="F822" s="57"/>
      <c r="G822" s="57"/>
      <c r="H822" s="57"/>
      <c r="I822" s="57"/>
      <c r="J822" s="57"/>
      <c r="L822" s="57"/>
      <c r="M822" s="57"/>
      <c r="N822" s="57"/>
      <c r="O822" s="57"/>
      <c r="P822" s="57"/>
      <c r="Q822" s="57"/>
      <c r="R822" s="57"/>
      <c r="S822" s="57"/>
      <c r="T822" s="57"/>
      <c r="U822" s="57"/>
      <c r="V822" s="57"/>
      <c r="W822" s="57"/>
      <c r="X822" s="57"/>
      <c r="Y822" s="98"/>
      <c r="AA822" s="98"/>
      <c r="AR822" s="98"/>
      <c r="AS822" s="57"/>
      <c r="AU822" s="57"/>
      <c r="BF822" s="98"/>
      <c r="BG822" s="98"/>
      <c r="BH822" s="98"/>
      <c r="BI822" s="98"/>
      <c r="BJ822" s="98"/>
      <c r="BK822" s="98"/>
      <c r="BL822" s="98"/>
      <c r="BM822" s="57"/>
    </row>
    <row r="823" spans="1:65" ht="11.25" x14ac:dyDescent="0.2">
      <c r="A823" s="57"/>
      <c r="B823" s="57"/>
      <c r="C823" s="57"/>
      <c r="D823" s="57"/>
      <c r="E823" s="57"/>
      <c r="F823" s="57"/>
      <c r="G823" s="57"/>
      <c r="H823" s="57"/>
      <c r="I823" s="57"/>
      <c r="J823" s="57"/>
      <c r="L823" s="57"/>
      <c r="M823" s="57"/>
      <c r="N823" s="57"/>
      <c r="O823" s="57"/>
      <c r="P823" s="57"/>
      <c r="Q823" s="57"/>
      <c r="R823" s="57"/>
      <c r="S823" s="57"/>
      <c r="T823" s="57"/>
      <c r="U823" s="57"/>
      <c r="V823" s="57"/>
      <c r="W823" s="57"/>
      <c r="X823" s="57"/>
      <c r="Y823" s="98"/>
      <c r="AA823" s="98"/>
      <c r="AR823" s="98"/>
      <c r="AS823" s="57"/>
      <c r="AU823" s="57"/>
      <c r="BF823" s="98"/>
      <c r="BG823" s="98"/>
      <c r="BH823" s="98"/>
      <c r="BI823" s="98"/>
      <c r="BJ823" s="98"/>
      <c r="BK823" s="98"/>
      <c r="BL823" s="98"/>
      <c r="BM823" s="57"/>
    </row>
    <row r="824" spans="1:65" ht="11.25" x14ac:dyDescent="0.2">
      <c r="A824" s="57"/>
      <c r="B824" s="57"/>
      <c r="C824" s="57"/>
      <c r="D824" s="57"/>
      <c r="E824" s="57"/>
      <c r="F824" s="57"/>
      <c r="G824" s="57"/>
      <c r="H824" s="57"/>
      <c r="I824" s="57"/>
      <c r="J824" s="57"/>
      <c r="L824" s="57"/>
      <c r="M824" s="57"/>
      <c r="N824" s="57"/>
      <c r="O824" s="57"/>
      <c r="P824" s="57"/>
      <c r="Q824" s="57"/>
      <c r="R824" s="57"/>
      <c r="S824" s="57"/>
      <c r="T824" s="57"/>
      <c r="U824" s="57"/>
      <c r="V824" s="57"/>
      <c r="W824" s="57"/>
      <c r="X824" s="57"/>
      <c r="Y824" s="98"/>
      <c r="AA824" s="98"/>
      <c r="AR824" s="98"/>
      <c r="AS824" s="57"/>
      <c r="AU824" s="57"/>
      <c r="BF824" s="98"/>
      <c r="BG824" s="98"/>
      <c r="BH824" s="98"/>
      <c r="BI824" s="98"/>
      <c r="BJ824" s="98"/>
      <c r="BK824" s="98"/>
      <c r="BL824" s="98"/>
      <c r="BM824" s="57"/>
    </row>
    <row r="825" spans="1:65" ht="11.25" x14ac:dyDescent="0.2">
      <c r="A825" s="57"/>
      <c r="B825" s="57"/>
      <c r="C825" s="57"/>
      <c r="D825" s="57"/>
      <c r="E825" s="57"/>
      <c r="F825" s="57"/>
      <c r="G825" s="57"/>
      <c r="H825" s="57"/>
      <c r="I825" s="57"/>
      <c r="J825" s="57"/>
      <c r="L825" s="57"/>
      <c r="M825" s="57"/>
      <c r="N825" s="57"/>
      <c r="O825" s="57"/>
      <c r="P825" s="57"/>
      <c r="Q825" s="57"/>
      <c r="R825" s="57"/>
      <c r="S825" s="57"/>
      <c r="T825" s="57"/>
      <c r="U825" s="57"/>
      <c r="V825" s="57"/>
      <c r="W825" s="57"/>
      <c r="X825" s="57"/>
      <c r="Y825" s="98"/>
      <c r="AA825" s="98"/>
      <c r="AR825" s="98"/>
      <c r="AS825" s="57"/>
      <c r="AU825" s="57"/>
      <c r="BF825" s="98"/>
      <c r="BG825" s="98"/>
      <c r="BH825" s="98"/>
      <c r="BI825" s="98"/>
      <c r="BJ825" s="98"/>
      <c r="BK825" s="98"/>
      <c r="BL825" s="98"/>
      <c r="BM825" s="57"/>
    </row>
    <row r="826" spans="1:65" ht="11.25" x14ac:dyDescent="0.2">
      <c r="A826" s="57"/>
      <c r="B826" s="57"/>
      <c r="C826" s="57"/>
      <c r="D826" s="57"/>
      <c r="E826" s="57"/>
      <c r="F826" s="57"/>
      <c r="G826" s="57"/>
      <c r="H826" s="57"/>
      <c r="I826" s="57"/>
      <c r="J826" s="57"/>
      <c r="L826" s="57"/>
      <c r="M826" s="57"/>
      <c r="N826" s="57"/>
      <c r="O826" s="57"/>
      <c r="P826" s="57"/>
      <c r="Q826" s="57"/>
      <c r="R826" s="57"/>
      <c r="S826" s="57"/>
      <c r="T826" s="57"/>
      <c r="U826" s="57"/>
      <c r="V826" s="57"/>
      <c r="W826" s="57"/>
      <c r="X826" s="57"/>
      <c r="Y826" s="98"/>
      <c r="AA826" s="98"/>
      <c r="AR826" s="98"/>
      <c r="AS826" s="57"/>
      <c r="AU826" s="57"/>
      <c r="BF826" s="98"/>
      <c r="BG826" s="98"/>
      <c r="BH826" s="98"/>
      <c r="BI826" s="98"/>
      <c r="BJ826" s="98"/>
      <c r="BK826" s="98"/>
      <c r="BL826" s="98"/>
      <c r="BM826" s="57"/>
    </row>
    <row r="827" spans="1:65" ht="11.25" x14ac:dyDescent="0.2">
      <c r="A827" s="57"/>
      <c r="B827" s="57"/>
      <c r="C827" s="57"/>
      <c r="D827" s="57"/>
      <c r="E827" s="57"/>
      <c r="F827" s="57"/>
      <c r="G827" s="57"/>
      <c r="H827" s="57"/>
      <c r="I827" s="57"/>
      <c r="J827" s="57"/>
      <c r="L827" s="57"/>
      <c r="M827" s="57"/>
      <c r="N827" s="57"/>
      <c r="O827" s="57"/>
      <c r="P827" s="57"/>
      <c r="Q827" s="57"/>
      <c r="R827" s="57"/>
      <c r="S827" s="57"/>
      <c r="T827" s="57"/>
      <c r="U827" s="57"/>
      <c r="V827" s="57"/>
      <c r="W827" s="57"/>
      <c r="X827" s="57"/>
      <c r="Y827" s="98"/>
      <c r="AA827" s="98"/>
      <c r="AR827" s="98"/>
      <c r="AS827" s="57"/>
      <c r="AU827" s="57"/>
      <c r="BF827" s="98"/>
      <c r="BG827" s="98"/>
      <c r="BH827" s="98"/>
      <c r="BI827" s="98"/>
      <c r="BJ827" s="98"/>
      <c r="BK827" s="98"/>
      <c r="BL827" s="98"/>
      <c r="BM827" s="57"/>
    </row>
    <row r="828" spans="1:65" ht="11.25" x14ac:dyDescent="0.2">
      <c r="A828" s="57"/>
      <c r="B828" s="57"/>
      <c r="C828" s="57"/>
      <c r="D828" s="57"/>
      <c r="E828" s="57"/>
      <c r="F828" s="57"/>
      <c r="G828" s="57"/>
      <c r="H828" s="57"/>
      <c r="I828" s="57"/>
      <c r="J828" s="57"/>
      <c r="L828" s="57"/>
      <c r="M828" s="57"/>
      <c r="N828" s="57"/>
      <c r="O828" s="57"/>
      <c r="P828" s="57"/>
      <c r="Q828" s="57"/>
      <c r="R828" s="57"/>
      <c r="S828" s="57"/>
      <c r="T828" s="57"/>
      <c r="U828" s="57"/>
      <c r="V828" s="57"/>
      <c r="W828" s="57"/>
      <c r="X828" s="57"/>
      <c r="Y828" s="98"/>
      <c r="AA828" s="98"/>
      <c r="AR828" s="98"/>
      <c r="AS828" s="57"/>
      <c r="AU828" s="57"/>
      <c r="BF828" s="98"/>
      <c r="BG828" s="98"/>
      <c r="BH828" s="98"/>
      <c r="BI828" s="98"/>
      <c r="BJ828" s="98"/>
      <c r="BK828" s="98"/>
      <c r="BL828" s="98"/>
      <c r="BM828" s="57"/>
    </row>
    <row r="829" spans="1:65" ht="11.25" x14ac:dyDescent="0.2">
      <c r="A829" s="57"/>
      <c r="B829" s="57"/>
      <c r="C829" s="57"/>
      <c r="D829" s="57"/>
      <c r="E829" s="57"/>
      <c r="F829" s="57"/>
      <c r="G829" s="57"/>
      <c r="H829" s="57"/>
      <c r="I829" s="57"/>
      <c r="J829" s="57"/>
      <c r="L829" s="57"/>
      <c r="M829" s="57"/>
      <c r="N829" s="57"/>
      <c r="O829" s="57"/>
      <c r="P829" s="57"/>
      <c r="Q829" s="57"/>
      <c r="R829" s="57"/>
      <c r="S829" s="57"/>
      <c r="T829" s="57"/>
      <c r="U829" s="57"/>
      <c r="V829" s="57"/>
      <c r="W829" s="57"/>
      <c r="X829" s="57"/>
      <c r="Y829" s="98"/>
      <c r="AA829" s="98"/>
      <c r="AR829" s="98"/>
      <c r="AS829" s="57"/>
      <c r="AU829" s="57"/>
      <c r="BF829" s="98"/>
      <c r="BG829" s="98"/>
      <c r="BH829" s="98"/>
      <c r="BI829" s="98"/>
      <c r="BJ829" s="98"/>
      <c r="BK829" s="98"/>
      <c r="BL829" s="98"/>
      <c r="BM829" s="57"/>
    </row>
    <row r="830" spans="1:65" ht="11.25" x14ac:dyDescent="0.2">
      <c r="A830" s="57"/>
      <c r="B830" s="57"/>
      <c r="C830" s="57"/>
      <c r="D830" s="57"/>
      <c r="E830" s="57"/>
      <c r="F830" s="57"/>
      <c r="G830" s="57"/>
      <c r="H830" s="57"/>
      <c r="I830" s="57"/>
      <c r="J830" s="57"/>
      <c r="L830" s="57"/>
      <c r="M830" s="57"/>
      <c r="N830" s="57"/>
      <c r="O830" s="57"/>
      <c r="P830" s="57"/>
      <c r="Q830" s="57"/>
      <c r="R830" s="57"/>
      <c r="S830" s="57"/>
      <c r="T830" s="57"/>
      <c r="U830" s="57"/>
      <c r="V830" s="57"/>
      <c r="W830" s="57"/>
      <c r="X830" s="57"/>
      <c r="Y830" s="98"/>
      <c r="AA830" s="98"/>
      <c r="AR830" s="98"/>
      <c r="AS830" s="57"/>
      <c r="AU830" s="57"/>
      <c r="BF830" s="98"/>
      <c r="BG830" s="98"/>
      <c r="BH830" s="98"/>
      <c r="BI830" s="98"/>
      <c r="BJ830" s="98"/>
      <c r="BK830" s="98"/>
      <c r="BL830" s="98"/>
      <c r="BM830" s="57"/>
    </row>
    <row r="831" spans="1:65" ht="11.25" x14ac:dyDescent="0.2">
      <c r="A831" s="57"/>
      <c r="B831" s="57"/>
      <c r="C831" s="57"/>
      <c r="D831" s="57"/>
      <c r="E831" s="57"/>
      <c r="F831" s="57"/>
      <c r="G831" s="57"/>
      <c r="H831" s="57"/>
      <c r="I831" s="57"/>
      <c r="J831" s="57"/>
      <c r="L831" s="57"/>
      <c r="M831" s="57"/>
      <c r="N831" s="57"/>
      <c r="O831" s="57"/>
      <c r="P831" s="57"/>
      <c r="Q831" s="57"/>
      <c r="R831" s="57"/>
      <c r="S831" s="57"/>
      <c r="T831" s="57"/>
      <c r="U831" s="57"/>
      <c r="V831" s="57"/>
      <c r="W831" s="57"/>
      <c r="X831" s="57"/>
      <c r="Y831" s="98"/>
      <c r="AA831" s="98"/>
      <c r="AR831" s="98"/>
      <c r="AS831" s="57"/>
      <c r="AU831" s="57"/>
      <c r="BF831" s="98"/>
      <c r="BG831" s="98"/>
      <c r="BH831" s="98"/>
      <c r="BI831" s="98"/>
      <c r="BJ831" s="98"/>
      <c r="BK831" s="98"/>
      <c r="BL831" s="98"/>
      <c r="BM831" s="57"/>
    </row>
    <row r="832" spans="1:65" ht="11.25" x14ac:dyDescent="0.2">
      <c r="A832" s="57"/>
      <c r="B832" s="57"/>
      <c r="C832" s="57"/>
      <c r="D832" s="57"/>
      <c r="E832" s="57"/>
      <c r="F832" s="57"/>
      <c r="G832" s="57"/>
      <c r="H832" s="57"/>
      <c r="I832" s="57"/>
      <c r="J832" s="57"/>
      <c r="L832" s="57"/>
      <c r="M832" s="57"/>
      <c r="N832" s="57"/>
      <c r="O832" s="57"/>
      <c r="P832" s="57"/>
      <c r="Q832" s="57"/>
      <c r="R832" s="57"/>
      <c r="S832" s="57"/>
      <c r="T832" s="57"/>
      <c r="U832" s="57"/>
      <c r="V832" s="57"/>
      <c r="W832" s="57"/>
      <c r="X832" s="57"/>
      <c r="Y832" s="98"/>
      <c r="AA832" s="98"/>
      <c r="AR832" s="98"/>
      <c r="AS832" s="57"/>
      <c r="AU832" s="57"/>
      <c r="BF832" s="98"/>
      <c r="BG832" s="98"/>
      <c r="BH832" s="98"/>
      <c r="BI832" s="98"/>
      <c r="BJ832" s="98"/>
      <c r="BK832" s="98"/>
      <c r="BL832" s="98"/>
      <c r="BM832" s="57"/>
    </row>
    <row r="833" spans="1:65" ht="11.25" x14ac:dyDescent="0.2">
      <c r="A833" s="57"/>
      <c r="B833" s="57"/>
      <c r="C833" s="57"/>
      <c r="D833" s="57"/>
      <c r="E833" s="57"/>
      <c r="F833" s="57"/>
      <c r="G833" s="57"/>
      <c r="H833" s="57"/>
      <c r="I833" s="57"/>
      <c r="J833" s="57"/>
      <c r="L833" s="57"/>
      <c r="M833" s="57"/>
      <c r="N833" s="57"/>
      <c r="O833" s="57"/>
      <c r="P833" s="57"/>
      <c r="Q833" s="57"/>
      <c r="R833" s="57"/>
      <c r="S833" s="57"/>
      <c r="T833" s="57"/>
      <c r="U833" s="57"/>
      <c r="V833" s="57"/>
      <c r="W833" s="57"/>
      <c r="X833" s="57"/>
      <c r="Y833" s="98"/>
      <c r="AA833" s="98"/>
      <c r="AR833" s="98"/>
      <c r="AS833" s="57"/>
      <c r="AU833" s="57"/>
      <c r="BF833" s="98"/>
      <c r="BG833" s="98"/>
      <c r="BH833" s="98"/>
      <c r="BI833" s="98"/>
      <c r="BJ833" s="98"/>
      <c r="BK833" s="98"/>
      <c r="BL833" s="98"/>
      <c r="BM833" s="57"/>
    </row>
    <row r="834" spans="1:65" ht="11.25" x14ac:dyDescent="0.2">
      <c r="A834" s="57"/>
      <c r="B834" s="57"/>
      <c r="C834" s="57"/>
      <c r="D834" s="57"/>
      <c r="E834" s="57"/>
      <c r="F834" s="57"/>
      <c r="G834" s="57"/>
      <c r="H834" s="57"/>
      <c r="I834" s="57"/>
      <c r="J834" s="57"/>
      <c r="L834" s="57"/>
      <c r="M834" s="57"/>
      <c r="N834" s="57"/>
      <c r="O834" s="57"/>
      <c r="P834" s="57"/>
      <c r="Q834" s="57"/>
      <c r="R834" s="57"/>
      <c r="S834" s="57"/>
      <c r="T834" s="57"/>
      <c r="U834" s="57"/>
      <c r="V834" s="57"/>
      <c r="W834" s="57"/>
      <c r="X834" s="57"/>
      <c r="Y834" s="98"/>
      <c r="AA834" s="98"/>
      <c r="AR834" s="98"/>
      <c r="AS834" s="57"/>
      <c r="AU834" s="57"/>
      <c r="BF834" s="98"/>
      <c r="BG834" s="98"/>
      <c r="BH834" s="98"/>
      <c r="BI834" s="98"/>
      <c r="BJ834" s="98"/>
      <c r="BK834" s="98"/>
      <c r="BL834" s="98"/>
      <c r="BM834" s="57"/>
    </row>
    <row r="835" spans="1:65" ht="11.25" x14ac:dyDescent="0.2">
      <c r="A835" s="57"/>
      <c r="B835" s="57"/>
      <c r="C835" s="57"/>
      <c r="D835" s="57"/>
      <c r="E835" s="57"/>
      <c r="F835" s="57"/>
      <c r="G835" s="57"/>
      <c r="H835" s="57"/>
      <c r="I835" s="57"/>
      <c r="J835" s="57"/>
      <c r="L835" s="57"/>
      <c r="M835" s="57"/>
      <c r="N835" s="57"/>
      <c r="O835" s="57"/>
      <c r="P835" s="57"/>
      <c r="Q835" s="57"/>
      <c r="R835" s="57"/>
      <c r="S835" s="57"/>
      <c r="T835" s="57"/>
      <c r="U835" s="57"/>
      <c r="V835" s="57"/>
      <c r="W835" s="57"/>
      <c r="X835" s="57"/>
      <c r="Y835" s="98"/>
      <c r="AA835" s="98"/>
      <c r="AR835" s="98"/>
      <c r="AS835" s="57"/>
      <c r="AU835" s="57"/>
      <c r="BF835" s="98"/>
      <c r="BG835" s="98"/>
      <c r="BH835" s="98"/>
      <c r="BI835" s="98"/>
      <c r="BJ835" s="98"/>
      <c r="BK835" s="98"/>
      <c r="BL835" s="98"/>
      <c r="BM835" s="57"/>
    </row>
    <row r="836" spans="1:65" ht="11.25" x14ac:dyDescent="0.2">
      <c r="A836" s="57"/>
      <c r="B836" s="57"/>
      <c r="C836" s="57"/>
      <c r="D836" s="57"/>
      <c r="E836" s="57"/>
      <c r="F836" s="57"/>
      <c r="G836" s="57"/>
      <c r="H836" s="57"/>
      <c r="I836" s="57"/>
      <c r="J836" s="57"/>
      <c r="L836" s="57"/>
      <c r="M836" s="57"/>
      <c r="N836" s="57"/>
      <c r="O836" s="57"/>
      <c r="P836" s="57"/>
      <c r="Q836" s="57"/>
      <c r="R836" s="57"/>
      <c r="S836" s="57"/>
      <c r="T836" s="57"/>
      <c r="U836" s="57"/>
      <c r="V836" s="57"/>
      <c r="W836" s="57"/>
      <c r="X836" s="57"/>
      <c r="Y836" s="98"/>
      <c r="AA836" s="98"/>
      <c r="AR836" s="98"/>
      <c r="AS836" s="57"/>
      <c r="AU836" s="57"/>
      <c r="BF836" s="98"/>
      <c r="BG836" s="98"/>
      <c r="BH836" s="98"/>
      <c r="BI836" s="98"/>
      <c r="BJ836" s="98"/>
      <c r="BK836" s="98"/>
      <c r="BL836" s="98"/>
      <c r="BM836" s="57"/>
    </row>
    <row r="837" spans="1:65" ht="11.25" x14ac:dyDescent="0.2">
      <c r="A837" s="57"/>
      <c r="B837" s="57"/>
      <c r="C837" s="57"/>
      <c r="D837" s="57"/>
      <c r="E837" s="57"/>
      <c r="F837" s="57"/>
      <c r="G837" s="57"/>
      <c r="H837" s="57"/>
      <c r="I837" s="57"/>
      <c r="J837" s="57"/>
      <c r="L837" s="57"/>
      <c r="M837" s="57"/>
      <c r="N837" s="57"/>
      <c r="O837" s="57"/>
      <c r="P837" s="57"/>
      <c r="Q837" s="57"/>
      <c r="R837" s="57"/>
      <c r="S837" s="57"/>
      <c r="T837" s="57"/>
      <c r="U837" s="57"/>
      <c r="V837" s="57"/>
      <c r="W837" s="57"/>
      <c r="X837" s="57"/>
      <c r="Y837" s="98"/>
      <c r="AA837" s="98"/>
      <c r="AR837" s="98"/>
      <c r="AS837" s="57"/>
      <c r="AU837" s="57"/>
      <c r="BF837" s="98"/>
      <c r="BG837" s="98"/>
      <c r="BH837" s="98"/>
      <c r="BI837" s="98"/>
      <c r="BJ837" s="98"/>
      <c r="BK837" s="98"/>
      <c r="BL837" s="98"/>
      <c r="BM837" s="57"/>
    </row>
    <row r="838" spans="1:65" ht="11.25" x14ac:dyDescent="0.2">
      <c r="A838" s="57"/>
      <c r="B838" s="57"/>
      <c r="C838" s="57"/>
      <c r="D838" s="57"/>
      <c r="E838" s="57"/>
      <c r="F838" s="57"/>
      <c r="G838" s="57"/>
      <c r="H838" s="57"/>
      <c r="I838" s="57"/>
      <c r="J838" s="57"/>
      <c r="L838" s="57"/>
      <c r="M838" s="57"/>
      <c r="N838" s="57"/>
      <c r="O838" s="57"/>
      <c r="P838" s="57"/>
      <c r="Q838" s="57"/>
      <c r="R838" s="57"/>
      <c r="S838" s="57"/>
      <c r="T838" s="57"/>
      <c r="U838" s="57"/>
      <c r="V838" s="57"/>
      <c r="W838" s="57"/>
      <c r="X838" s="57"/>
      <c r="Y838" s="98"/>
      <c r="AA838" s="98"/>
      <c r="AR838" s="98"/>
      <c r="AS838" s="57"/>
      <c r="AU838" s="57"/>
      <c r="BF838" s="98"/>
      <c r="BG838" s="98"/>
      <c r="BH838" s="98"/>
      <c r="BI838" s="98"/>
      <c r="BJ838" s="98"/>
      <c r="BK838" s="98"/>
      <c r="BL838" s="98"/>
      <c r="BM838" s="57"/>
    </row>
    <row r="839" spans="1:65" ht="11.25" x14ac:dyDescent="0.2">
      <c r="A839" s="57"/>
      <c r="B839" s="57"/>
      <c r="C839" s="57"/>
      <c r="D839" s="57"/>
      <c r="E839" s="57"/>
      <c r="F839" s="57"/>
      <c r="G839" s="57"/>
      <c r="H839" s="57"/>
      <c r="I839" s="57"/>
      <c r="J839" s="57"/>
      <c r="L839" s="57"/>
      <c r="M839" s="57"/>
      <c r="N839" s="57"/>
      <c r="O839" s="57"/>
      <c r="P839" s="57"/>
      <c r="Q839" s="57"/>
      <c r="R839" s="57"/>
      <c r="S839" s="57"/>
      <c r="T839" s="57"/>
      <c r="U839" s="57"/>
      <c r="V839" s="57"/>
      <c r="W839" s="57"/>
      <c r="X839" s="57"/>
      <c r="Y839" s="98"/>
      <c r="AA839" s="98"/>
      <c r="AR839" s="98"/>
      <c r="AS839" s="57"/>
      <c r="AU839" s="57"/>
      <c r="BF839" s="98"/>
      <c r="BG839" s="98"/>
      <c r="BH839" s="98"/>
      <c r="BI839" s="98"/>
      <c r="BJ839" s="98"/>
      <c r="BK839" s="98"/>
      <c r="BL839" s="98"/>
      <c r="BM839" s="57"/>
    </row>
    <row r="840" spans="1:65" ht="11.25" x14ac:dyDescent="0.2">
      <c r="A840" s="57"/>
      <c r="B840" s="57"/>
      <c r="C840" s="57"/>
      <c r="D840" s="57"/>
      <c r="E840" s="57"/>
      <c r="F840" s="57"/>
      <c r="G840" s="57"/>
      <c r="H840" s="57"/>
      <c r="I840" s="57"/>
      <c r="J840" s="57"/>
      <c r="L840" s="57"/>
      <c r="M840" s="57"/>
      <c r="N840" s="57"/>
      <c r="O840" s="57"/>
      <c r="P840" s="57"/>
      <c r="Q840" s="57"/>
      <c r="R840" s="57"/>
      <c r="S840" s="57"/>
      <c r="T840" s="57"/>
      <c r="U840" s="57"/>
      <c r="V840" s="57"/>
      <c r="W840" s="57"/>
      <c r="X840" s="57"/>
      <c r="Y840" s="98"/>
      <c r="AA840" s="98"/>
      <c r="AR840" s="98"/>
      <c r="AS840" s="57"/>
      <c r="AU840" s="57"/>
      <c r="BF840" s="98"/>
      <c r="BG840" s="98"/>
      <c r="BH840" s="98"/>
      <c r="BI840" s="98"/>
      <c r="BJ840" s="98"/>
      <c r="BK840" s="98"/>
      <c r="BL840" s="98"/>
      <c r="BM840" s="57"/>
    </row>
    <row r="841" spans="1:65" ht="11.25" x14ac:dyDescent="0.2">
      <c r="A841" s="57"/>
      <c r="B841" s="57"/>
      <c r="C841" s="57"/>
      <c r="D841" s="57"/>
      <c r="E841" s="57"/>
      <c r="F841" s="57"/>
      <c r="G841" s="57"/>
      <c r="H841" s="57"/>
      <c r="I841" s="57"/>
      <c r="J841" s="57"/>
      <c r="L841" s="57"/>
      <c r="M841" s="57"/>
      <c r="N841" s="57"/>
      <c r="O841" s="57"/>
      <c r="P841" s="57"/>
      <c r="Q841" s="57"/>
      <c r="R841" s="57"/>
      <c r="S841" s="57"/>
      <c r="T841" s="57"/>
      <c r="U841" s="57"/>
      <c r="V841" s="57"/>
      <c r="W841" s="57"/>
      <c r="X841" s="57"/>
      <c r="Y841" s="98"/>
      <c r="AA841" s="98"/>
      <c r="AR841" s="98"/>
      <c r="AS841" s="57"/>
      <c r="AU841" s="57"/>
      <c r="BF841" s="98"/>
      <c r="BG841" s="98"/>
      <c r="BH841" s="98"/>
      <c r="BI841" s="98"/>
      <c r="BJ841" s="98"/>
      <c r="BK841" s="98"/>
      <c r="BL841" s="98"/>
      <c r="BM841" s="57"/>
    </row>
    <row r="842" spans="1:65" ht="11.25" x14ac:dyDescent="0.2">
      <c r="A842" s="57"/>
      <c r="B842" s="57"/>
      <c r="C842" s="57"/>
      <c r="D842" s="57"/>
      <c r="E842" s="57"/>
      <c r="F842" s="57"/>
      <c r="G842" s="57"/>
      <c r="H842" s="57"/>
      <c r="I842" s="57"/>
      <c r="J842" s="57"/>
      <c r="L842" s="57"/>
      <c r="M842" s="57"/>
      <c r="N842" s="57"/>
      <c r="O842" s="57"/>
      <c r="P842" s="57"/>
      <c r="Q842" s="57"/>
      <c r="R842" s="57"/>
      <c r="S842" s="57"/>
      <c r="T842" s="57"/>
      <c r="U842" s="57"/>
      <c r="V842" s="57"/>
      <c r="W842" s="57"/>
      <c r="X842" s="57"/>
      <c r="Y842" s="98"/>
      <c r="AA842" s="98"/>
      <c r="AR842" s="98"/>
      <c r="AS842" s="57"/>
      <c r="AU842" s="57"/>
      <c r="BF842" s="98"/>
      <c r="BG842" s="98"/>
      <c r="BH842" s="98"/>
      <c r="BI842" s="98"/>
      <c r="BJ842" s="98"/>
      <c r="BK842" s="98"/>
      <c r="BL842" s="98"/>
      <c r="BM842" s="57"/>
    </row>
    <row r="843" spans="1:65" ht="11.25" x14ac:dyDescent="0.2">
      <c r="A843" s="57"/>
      <c r="B843" s="57"/>
      <c r="C843" s="57"/>
      <c r="D843" s="57"/>
      <c r="E843" s="57"/>
      <c r="F843" s="57"/>
      <c r="G843" s="57"/>
      <c r="H843" s="57"/>
      <c r="I843" s="57"/>
      <c r="J843" s="57"/>
      <c r="L843" s="57"/>
      <c r="M843" s="57"/>
      <c r="N843" s="57"/>
      <c r="O843" s="57"/>
      <c r="P843" s="57"/>
      <c r="Q843" s="57"/>
      <c r="R843" s="57"/>
      <c r="S843" s="57"/>
      <c r="T843" s="57"/>
      <c r="U843" s="57"/>
      <c r="V843" s="57"/>
      <c r="W843" s="57"/>
      <c r="X843" s="57"/>
      <c r="Y843" s="98"/>
      <c r="AA843" s="98"/>
      <c r="AR843" s="98"/>
      <c r="AS843" s="57"/>
      <c r="AU843" s="57"/>
      <c r="BF843" s="98"/>
      <c r="BG843" s="98"/>
      <c r="BH843" s="98"/>
      <c r="BI843" s="98"/>
      <c r="BJ843" s="98"/>
      <c r="BK843" s="98"/>
      <c r="BL843" s="98"/>
      <c r="BM843" s="57"/>
    </row>
    <row r="844" spans="1:65" ht="11.25" x14ac:dyDescent="0.2">
      <c r="A844" s="57"/>
      <c r="B844" s="57"/>
      <c r="C844" s="57"/>
      <c r="D844" s="57"/>
      <c r="E844" s="57"/>
      <c r="F844" s="57"/>
      <c r="G844" s="57"/>
      <c r="H844" s="57"/>
      <c r="I844" s="57"/>
      <c r="J844" s="57"/>
      <c r="L844" s="57"/>
      <c r="M844" s="57"/>
      <c r="N844" s="57"/>
      <c r="O844" s="57"/>
      <c r="P844" s="57"/>
      <c r="Q844" s="57"/>
      <c r="R844" s="57"/>
      <c r="S844" s="57"/>
      <c r="T844" s="57"/>
      <c r="U844" s="57"/>
      <c r="V844" s="57"/>
      <c r="W844" s="57"/>
      <c r="X844" s="57"/>
      <c r="Y844" s="98"/>
      <c r="AA844" s="98"/>
      <c r="AR844" s="98"/>
      <c r="AS844" s="57"/>
      <c r="AU844" s="57"/>
      <c r="BF844" s="98"/>
      <c r="BG844" s="98"/>
      <c r="BH844" s="98"/>
      <c r="BI844" s="98"/>
      <c r="BJ844" s="98"/>
      <c r="BK844" s="98"/>
      <c r="BL844" s="98"/>
      <c r="BM844" s="57"/>
    </row>
    <row r="845" spans="1:65" ht="11.25" x14ac:dyDescent="0.2">
      <c r="A845" s="57"/>
      <c r="B845" s="57"/>
      <c r="C845" s="57"/>
      <c r="D845" s="57"/>
      <c r="E845" s="57"/>
      <c r="F845" s="57"/>
      <c r="G845" s="57"/>
      <c r="H845" s="57"/>
      <c r="I845" s="57"/>
      <c r="J845" s="57"/>
      <c r="L845" s="57"/>
      <c r="M845" s="57"/>
      <c r="N845" s="57"/>
      <c r="O845" s="57"/>
      <c r="P845" s="57"/>
      <c r="Q845" s="57"/>
      <c r="R845" s="57"/>
      <c r="S845" s="57"/>
      <c r="T845" s="57"/>
      <c r="U845" s="57"/>
      <c r="V845" s="57"/>
      <c r="W845" s="57"/>
      <c r="X845" s="57"/>
      <c r="Y845" s="98"/>
      <c r="AA845" s="98"/>
      <c r="AR845" s="98"/>
      <c r="AS845" s="57"/>
      <c r="AU845" s="57"/>
      <c r="BF845" s="98"/>
      <c r="BG845" s="98"/>
      <c r="BH845" s="98"/>
      <c r="BI845" s="98"/>
      <c r="BJ845" s="98"/>
      <c r="BK845" s="98"/>
      <c r="BL845" s="98"/>
      <c r="BM845" s="57"/>
    </row>
    <row r="846" spans="1:65" ht="11.25" x14ac:dyDescent="0.2">
      <c r="A846" s="57"/>
      <c r="B846" s="57"/>
      <c r="C846" s="57"/>
      <c r="D846" s="57"/>
      <c r="E846" s="57"/>
      <c r="F846" s="57"/>
      <c r="G846" s="57"/>
      <c r="H846" s="57"/>
      <c r="I846" s="57"/>
      <c r="J846" s="57"/>
      <c r="L846" s="57"/>
      <c r="M846" s="57"/>
      <c r="N846" s="57"/>
      <c r="O846" s="57"/>
      <c r="P846" s="57"/>
      <c r="Q846" s="57"/>
      <c r="R846" s="57"/>
      <c r="S846" s="57"/>
      <c r="T846" s="57"/>
      <c r="U846" s="57"/>
      <c r="V846" s="57"/>
      <c r="W846" s="57"/>
      <c r="X846" s="57"/>
      <c r="Y846" s="98"/>
      <c r="AA846" s="98"/>
      <c r="AR846" s="98"/>
      <c r="AS846" s="57"/>
      <c r="AU846" s="57"/>
      <c r="BF846" s="98"/>
      <c r="BG846" s="98"/>
      <c r="BH846" s="98"/>
      <c r="BI846" s="98"/>
      <c r="BJ846" s="98"/>
      <c r="BK846" s="98"/>
      <c r="BL846" s="98"/>
      <c r="BM846" s="57"/>
    </row>
    <row r="847" spans="1:65" ht="11.25" x14ac:dyDescent="0.2">
      <c r="A847" s="57"/>
      <c r="B847" s="57"/>
      <c r="C847" s="57"/>
      <c r="D847" s="57"/>
      <c r="E847" s="57"/>
      <c r="F847" s="57"/>
      <c r="G847" s="57"/>
      <c r="H847" s="57"/>
      <c r="I847" s="57"/>
      <c r="J847" s="57"/>
      <c r="L847" s="57"/>
      <c r="M847" s="57"/>
      <c r="N847" s="57"/>
      <c r="O847" s="57"/>
      <c r="P847" s="57"/>
      <c r="Q847" s="57"/>
      <c r="R847" s="57"/>
      <c r="S847" s="57"/>
      <c r="T847" s="57"/>
      <c r="U847" s="57"/>
      <c r="V847" s="57"/>
      <c r="W847" s="57"/>
      <c r="X847" s="57"/>
      <c r="Y847" s="98"/>
      <c r="AA847" s="98"/>
      <c r="AR847" s="98"/>
      <c r="AS847" s="57"/>
      <c r="AU847" s="57"/>
      <c r="BF847" s="98"/>
      <c r="BG847" s="98"/>
      <c r="BH847" s="98"/>
      <c r="BI847" s="98"/>
      <c r="BJ847" s="98"/>
      <c r="BK847" s="98"/>
      <c r="BL847" s="98"/>
      <c r="BM847" s="57"/>
    </row>
    <row r="848" spans="1:65" ht="11.25" x14ac:dyDescent="0.2">
      <c r="A848" s="57"/>
      <c r="B848" s="57"/>
      <c r="C848" s="57"/>
      <c r="D848" s="57"/>
      <c r="E848" s="57"/>
      <c r="F848" s="57"/>
      <c r="G848" s="57"/>
      <c r="H848" s="57"/>
      <c r="I848" s="57"/>
      <c r="J848" s="57"/>
      <c r="L848" s="57"/>
      <c r="M848" s="57"/>
      <c r="N848" s="57"/>
      <c r="O848" s="57"/>
      <c r="P848" s="57"/>
      <c r="Q848" s="57"/>
      <c r="R848" s="57"/>
      <c r="S848" s="57"/>
      <c r="T848" s="57"/>
      <c r="U848" s="57"/>
      <c r="V848" s="57"/>
      <c r="W848" s="57"/>
      <c r="X848" s="57"/>
      <c r="Y848" s="98"/>
      <c r="AA848" s="98"/>
      <c r="AR848" s="98"/>
      <c r="AS848" s="57"/>
      <c r="AU848" s="57"/>
      <c r="BF848" s="98"/>
      <c r="BG848" s="98"/>
      <c r="BH848" s="98"/>
      <c r="BI848" s="98"/>
      <c r="BJ848" s="98"/>
      <c r="BK848" s="98"/>
      <c r="BL848" s="98"/>
      <c r="BM848" s="57"/>
    </row>
    <row r="849" spans="1:65" ht="11.25" x14ac:dyDescent="0.2">
      <c r="A849" s="57"/>
      <c r="B849" s="57"/>
      <c r="C849" s="57"/>
      <c r="D849" s="57"/>
      <c r="E849" s="57"/>
      <c r="F849" s="57"/>
      <c r="G849" s="57"/>
      <c r="H849" s="57"/>
      <c r="I849" s="57"/>
      <c r="J849" s="57"/>
      <c r="L849" s="57"/>
      <c r="M849" s="57"/>
      <c r="N849" s="57"/>
      <c r="O849" s="57"/>
      <c r="P849" s="57"/>
      <c r="Q849" s="57"/>
      <c r="R849" s="57"/>
      <c r="S849" s="57"/>
      <c r="T849" s="57"/>
      <c r="U849" s="57"/>
      <c r="V849" s="57"/>
      <c r="W849" s="57"/>
      <c r="X849" s="57"/>
      <c r="Y849" s="98"/>
      <c r="AA849" s="98"/>
      <c r="AR849" s="98"/>
      <c r="AS849" s="57"/>
      <c r="AU849" s="57"/>
      <c r="BF849" s="98"/>
      <c r="BG849" s="98"/>
      <c r="BH849" s="98"/>
      <c r="BI849" s="98"/>
      <c r="BJ849" s="98"/>
      <c r="BK849" s="98"/>
      <c r="BL849" s="98"/>
      <c r="BM849" s="57"/>
    </row>
    <row r="850" spans="1:65" ht="11.25" x14ac:dyDescent="0.2">
      <c r="A850" s="57"/>
      <c r="B850" s="57"/>
      <c r="C850" s="57"/>
      <c r="D850" s="57"/>
      <c r="E850" s="57"/>
      <c r="F850" s="57"/>
      <c r="G850" s="57"/>
      <c r="H850" s="57"/>
      <c r="I850" s="57"/>
      <c r="J850" s="57"/>
      <c r="L850" s="57"/>
      <c r="M850" s="57"/>
      <c r="N850" s="57"/>
      <c r="O850" s="57"/>
      <c r="P850" s="57"/>
      <c r="Q850" s="57"/>
      <c r="R850" s="57"/>
      <c r="S850" s="57"/>
      <c r="T850" s="57"/>
      <c r="U850" s="57"/>
      <c r="V850" s="57"/>
      <c r="W850" s="57"/>
      <c r="X850" s="57"/>
      <c r="Y850" s="98"/>
      <c r="AA850" s="98"/>
      <c r="AR850" s="98"/>
      <c r="AS850" s="57"/>
      <c r="AU850" s="57"/>
      <c r="BF850" s="98"/>
      <c r="BG850" s="98"/>
      <c r="BH850" s="98"/>
      <c r="BI850" s="98"/>
      <c r="BJ850" s="98"/>
      <c r="BK850" s="98"/>
      <c r="BL850" s="98"/>
      <c r="BM850" s="57"/>
    </row>
    <row r="851" spans="1:65" ht="11.25" x14ac:dyDescent="0.2">
      <c r="A851" s="57"/>
      <c r="B851" s="57"/>
      <c r="C851" s="57"/>
      <c r="D851" s="57"/>
      <c r="E851" s="57"/>
      <c r="F851" s="57"/>
      <c r="G851" s="57"/>
      <c r="H851" s="57"/>
      <c r="I851" s="57"/>
      <c r="J851" s="57"/>
      <c r="L851" s="57"/>
      <c r="M851" s="57"/>
      <c r="N851" s="57"/>
      <c r="O851" s="57"/>
      <c r="P851" s="57"/>
      <c r="Q851" s="57"/>
      <c r="R851" s="57"/>
      <c r="S851" s="57"/>
      <c r="T851" s="57"/>
      <c r="U851" s="57"/>
      <c r="V851" s="57"/>
      <c r="W851" s="57"/>
      <c r="X851" s="57"/>
      <c r="Y851" s="98"/>
      <c r="AA851" s="98"/>
      <c r="AR851" s="98"/>
      <c r="AS851" s="57"/>
      <c r="AU851" s="57"/>
      <c r="BF851" s="98"/>
      <c r="BG851" s="98"/>
      <c r="BH851" s="98"/>
      <c r="BI851" s="98"/>
      <c r="BJ851" s="98"/>
      <c r="BK851" s="98"/>
      <c r="BL851" s="98"/>
      <c r="BM851" s="57"/>
    </row>
    <row r="852" spans="1:65" ht="11.25" x14ac:dyDescent="0.2">
      <c r="A852" s="57"/>
      <c r="B852" s="57"/>
      <c r="C852" s="57"/>
      <c r="D852" s="57"/>
      <c r="E852" s="57"/>
      <c r="F852" s="57"/>
      <c r="G852" s="57"/>
      <c r="H852" s="57"/>
      <c r="I852" s="57"/>
      <c r="J852" s="57"/>
      <c r="L852" s="57"/>
      <c r="M852" s="57"/>
      <c r="N852" s="57"/>
      <c r="O852" s="57"/>
      <c r="P852" s="57"/>
      <c r="Q852" s="57"/>
      <c r="R852" s="57"/>
      <c r="S852" s="57"/>
      <c r="T852" s="57"/>
      <c r="U852" s="57"/>
      <c r="V852" s="57"/>
      <c r="W852" s="57"/>
      <c r="X852" s="57"/>
      <c r="Y852" s="98"/>
      <c r="AA852" s="98"/>
      <c r="AR852" s="98"/>
      <c r="AS852" s="57"/>
      <c r="AU852" s="57"/>
      <c r="BF852" s="98"/>
      <c r="BG852" s="98"/>
      <c r="BH852" s="98"/>
      <c r="BI852" s="98"/>
      <c r="BJ852" s="98"/>
      <c r="BK852" s="98"/>
      <c r="BL852" s="98"/>
      <c r="BM852" s="57"/>
    </row>
    <row r="853" spans="1:65" ht="11.25" x14ac:dyDescent="0.2">
      <c r="A853" s="57"/>
      <c r="B853" s="57"/>
      <c r="C853" s="57"/>
      <c r="D853" s="57"/>
      <c r="E853" s="57"/>
      <c r="F853" s="57"/>
      <c r="G853" s="57"/>
      <c r="H853" s="57"/>
      <c r="I853" s="57"/>
      <c r="J853" s="57"/>
      <c r="L853" s="57"/>
      <c r="M853" s="57"/>
      <c r="N853" s="57"/>
      <c r="O853" s="57"/>
      <c r="P853" s="57"/>
      <c r="Q853" s="57"/>
      <c r="R853" s="57"/>
      <c r="S853" s="57"/>
      <c r="T853" s="57"/>
      <c r="U853" s="57"/>
      <c r="V853" s="57"/>
      <c r="W853" s="57"/>
      <c r="X853" s="57"/>
      <c r="Y853" s="98"/>
      <c r="AA853" s="98"/>
      <c r="AR853" s="98"/>
      <c r="AS853" s="57"/>
      <c r="AU853" s="57"/>
      <c r="BF853" s="98"/>
      <c r="BG853" s="98"/>
      <c r="BH853" s="98"/>
      <c r="BI853" s="98"/>
      <c r="BJ853" s="98"/>
      <c r="BK853" s="98"/>
      <c r="BL853" s="98"/>
      <c r="BM853" s="57"/>
    </row>
    <row r="854" spans="1:65" ht="11.25" x14ac:dyDescent="0.2">
      <c r="A854" s="57"/>
      <c r="B854" s="57"/>
      <c r="C854" s="57"/>
      <c r="D854" s="57"/>
      <c r="E854" s="57"/>
      <c r="F854" s="57"/>
      <c r="G854" s="57"/>
      <c r="H854" s="57"/>
      <c r="I854" s="57"/>
      <c r="J854" s="57"/>
      <c r="L854" s="57"/>
      <c r="M854" s="57"/>
      <c r="N854" s="57"/>
      <c r="O854" s="57"/>
      <c r="P854" s="57"/>
      <c r="Q854" s="57"/>
      <c r="R854" s="57"/>
      <c r="S854" s="57"/>
      <c r="T854" s="57"/>
      <c r="U854" s="57"/>
      <c r="V854" s="57"/>
      <c r="W854" s="57"/>
      <c r="X854" s="57"/>
      <c r="Y854" s="98"/>
      <c r="AA854" s="98"/>
      <c r="AR854" s="98"/>
      <c r="AS854" s="57"/>
      <c r="AU854" s="57"/>
      <c r="BF854" s="98"/>
      <c r="BG854" s="98"/>
      <c r="BH854" s="98"/>
      <c r="BI854" s="98"/>
      <c r="BJ854" s="98"/>
      <c r="BK854" s="98"/>
      <c r="BL854" s="98"/>
      <c r="BM854" s="57"/>
    </row>
    <row r="855" spans="1:65" ht="11.25" x14ac:dyDescent="0.2">
      <c r="A855" s="57"/>
      <c r="B855" s="57"/>
      <c r="C855" s="57"/>
      <c r="D855" s="57"/>
      <c r="E855" s="57"/>
      <c r="F855" s="57"/>
      <c r="G855" s="57"/>
      <c r="H855" s="57"/>
      <c r="I855" s="57"/>
      <c r="J855" s="57"/>
      <c r="L855" s="57"/>
      <c r="M855" s="57"/>
      <c r="N855" s="57"/>
      <c r="O855" s="57"/>
      <c r="P855" s="57"/>
      <c r="Q855" s="57"/>
      <c r="R855" s="57"/>
      <c r="S855" s="57"/>
      <c r="T855" s="57"/>
      <c r="U855" s="57"/>
      <c r="V855" s="57"/>
      <c r="W855" s="57"/>
      <c r="X855" s="57"/>
      <c r="Y855" s="98"/>
      <c r="AA855" s="98"/>
      <c r="AR855" s="98"/>
      <c r="AS855" s="57"/>
      <c r="AU855" s="57"/>
      <c r="BF855" s="98"/>
      <c r="BG855" s="98"/>
      <c r="BH855" s="98"/>
      <c r="BI855" s="98"/>
      <c r="BJ855" s="98"/>
      <c r="BK855" s="98"/>
      <c r="BL855" s="98"/>
      <c r="BM855" s="57"/>
    </row>
    <row r="856" spans="1:65" ht="11.25" x14ac:dyDescent="0.2">
      <c r="A856" s="57"/>
      <c r="B856" s="57"/>
      <c r="C856" s="57"/>
      <c r="D856" s="57"/>
      <c r="E856" s="57"/>
      <c r="F856" s="57"/>
      <c r="G856" s="57"/>
      <c r="H856" s="57"/>
      <c r="I856" s="57"/>
      <c r="J856" s="57"/>
      <c r="L856" s="57"/>
      <c r="M856" s="57"/>
      <c r="N856" s="57"/>
      <c r="O856" s="57"/>
      <c r="P856" s="57"/>
      <c r="Q856" s="57"/>
      <c r="R856" s="57"/>
      <c r="S856" s="57"/>
      <c r="T856" s="57"/>
      <c r="U856" s="57"/>
      <c r="V856" s="57"/>
      <c r="W856" s="57"/>
      <c r="X856" s="57"/>
      <c r="Y856" s="98"/>
      <c r="AA856" s="98"/>
      <c r="AR856" s="98"/>
      <c r="AS856" s="57"/>
      <c r="AU856" s="57"/>
      <c r="BF856" s="98"/>
      <c r="BG856" s="98"/>
      <c r="BH856" s="98"/>
      <c r="BI856" s="98"/>
      <c r="BJ856" s="98"/>
      <c r="BK856" s="98"/>
      <c r="BL856" s="98"/>
      <c r="BM856" s="57"/>
    </row>
    <row r="857" spans="1:65" ht="11.25" x14ac:dyDescent="0.2">
      <c r="A857" s="57"/>
      <c r="B857" s="57"/>
      <c r="C857" s="57"/>
      <c r="D857" s="57"/>
      <c r="E857" s="57"/>
      <c r="F857" s="57"/>
      <c r="G857" s="57"/>
      <c r="H857" s="57"/>
      <c r="I857" s="57"/>
      <c r="J857" s="57"/>
      <c r="L857" s="57"/>
      <c r="M857" s="57"/>
      <c r="N857" s="57"/>
      <c r="O857" s="57"/>
      <c r="P857" s="57"/>
      <c r="Q857" s="57"/>
      <c r="R857" s="57"/>
      <c r="S857" s="57"/>
      <c r="T857" s="57"/>
      <c r="U857" s="57"/>
      <c r="V857" s="57"/>
      <c r="W857" s="57"/>
      <c r="X857" s="57"/>
      <c r="Y857" s="98"/>
      <c r="AA857" s="98"/>
      <c r="AR857" s="98"/>
      <c r="AS857" s="57"/>
      <c r="AU857" s="57"/>
      <c r="BF857" s="98"/>
      <c r="BG857" s="98"/>
      <c r="BH857" s="98"/>
      <c r="BI857" s="98"/>
      <c r="BJ857" s="98"/>
      <c r="BK857" s="98"/>
      <c r="BL857" s="98"/>
      <c r="BM857" s="57"/>
    </row>
    <row r="858" spans="1:65" ht="11.25" x14ac:dyDescent="0.2">
      <c r="A858" s="57"/>
      <c r="B858" s="57"/>
      <c r="C858" s="57"/>
      <c r="D858" s="57"/>
      <c r="E858" s="57"/>
      <c r="F858" s="57"/>
      <c r="G858" s="57"/>
      <c r="H858" s="57"/>
      <c r="I858" s="57"/>
      <c r="J858" s="57"/>
      <c r="L858" s="57"/>
      <c r="M858" s="57"/>
      <c r="N858" s="57"/>
      <c r="O858" s="57"/>
      <c r="P858" s="57"/>
      <c r="Q858" s="57"/>
      <c r="R858" s="57"/>
      <c r="S858" s="57"/>
      <c r="T858" s="57"/>
      <c r="U858" s="57"/>
      <c r="V858" s="57"/>
      <c r="W858" s="57"/>
      <c r="X858" s="57"/>
      <c r="Y858" s="98"/>
      <c r="AA858" s="98"/>
      <c r="AR858" s="98"/>
      <c r="AS858" s="57"/>
      <c r="AU858" s="57"/>
      <c r="BF858" s="98"/>
      <c r="BG858" s="98"/>
      <c r="BH858" s="98"/>
      <c r="BI858" s="98"/>
      <c r="BJ858" s="98"/>
      <c r="BK858" s="98"/>
      <c r="BL858" s="98"/>
      <c r="BM858" s="57"/>
    </row>
    <row r="859" spans="1:65" ht="11.25" x14ac:dyDescent="0.2">
      <c r="A859" s="57"/>
      <c r="B859" s="57"/>
      <c r="C859" s="57"/>
      <c r="D859" s="57"/>
      <c r="E859" s="57"/>
      <c r="F859" s="57"/>
      <c r="G859" s="57"/>
      <c r="H859" s="57"/>
      <c r="I859" s="57"/>
      <c r="J859" s="57"/>
      <c r="L859" s="57"/>
      <c r="M859" s="57"/>
      <c r="N859" s="57"/>
      <c r="O859" s="57"/>
      <c r="P859" s="57"/>
      <c r="Q859" s="57"/>
      <c r="R859" s="57"/>
      <c r="S859" s="57"/>
      <c r="T859" s="57"/>
      <c r="U859" s="57"/>
      <c r="V859" s="57"/>
      <c r="W859" s="57"/>
      <c r="X859" s="57"/>
      <c r="Y859" s="98"/>
      <c r="AA859" s="98"/>
      <c r="AR859" s="98"/>
      <c r="AS859" s="57"/>
      <c r="AU859" s="57"/>
      <c r="BF859" s="98"/>
      <c r="BG859" s="98"/>
      <c r="BH859" s="98"/>
      <c r="BI859" s="98"/>
      <c r="BJ859" s="98"/>
      <c r="BK859" s="98"/>
      <c r="BL859" s="98"/>
      <c r="BM859" s="57"/>
    </row>
    <row r="860" spans="1:65" ht="11.25" x14ac:dyDescent="0.2">
      <c r="A860" s="57"/>
      <c r="B860" s="57"/>
      <c r="C860" s="57"/>
      <c r="D860" s="57"/>
      <c r="E860" s="57"/>
      <c r="F860" s="57"/>
      <c r="G860" s="57"/>
      <c r="H860" s="57"/>
      <c r="I860" s="57"/>
      <c r="J860" s="57"/>
      <c r="L860" s="57"/>
      <c r="M860" s="57"/>
      <c r="N860" s="57"/>
      <c r="O860" s="57"/>
      <c r="P860" s="57"/>
      <c r="Q860" s="57"/>
      <c r="R860" s="57"/>
      <c r="S860" s="57"/>
      <c r="T860" s="57"/>
      <c r="U860" s="57"/>
      <c r="V860" s="57"/>
      <c r="W860" s="57"/>
      <c r="X860" s="57"/>
      <c r="Y860" s="98"/>
      <c r="AA860" s="98"/>
      <c r="AR860" s="98"/>
      <c r="AS860" s="57"/>
      <c r="AU860" s="57"/>
      <c r="BF860" s="98"/>
      <c r="BG860" s="98"/>
      <c r="BH860" s="98"/>
      <c r="BI860" s="98"/>
      <c r="BJ860" s="98"/>
      <c r="BK860" s="98"/>
      <c r="BL860" s="98"/>
      <c r="BM860" s="57"/>
    </row>
    <row r="861" spans="1:65" ht="11.25" x14ac:dyDescent="0.2">
      <c r="A861" s="57"/>
      <c r="B861" s="57"/>
      <c r="C861" s="57"/>
      <c r="D861" s="57"/>
      <c r="E861" s="57"/>
      <c r="F861" s="57"/>
      <c r="G861" s="57"/>
      <c r="H861" s="57"/>
      <c r="I861" s="57"/>
      <c r="J861" s="57"/>
      <c r="L861" s="57"/>
      <c r="M861" s="57"/>
      <c r="N861" s="57"/>
      <c r="O861" s="57"/>
      <c r="P861" s="57"/>
      <c r="Q861" s="57"/>
      <c r="R861" s="57"/>
      <c r="S861" s="57"/>
      <c r="T861" s="57"/>
      <c r="U861" s="57"/>
      <c r="V861" s="57"/>
      <c r="W861" s="57"/>
      <c r="X861" s="57"/>
      <c r="Y861" s="98"/>
      <c r="AA861" s="98"/>
      <c r="AR861" s="98"/>
      <c r="AS861" s="57"/>
      <c r="AU861" s="57"/>
      <c r="BF861" s="98"/>
      <c r="BG861" s="98"/>
      <c r="BH861" s="98"/>
      <c r="BI861" s="98"/>
      <c r="BJ861" s="98"/>
      <c r="BK861" s="98"/>
      <c r="BL861" s="98"/>
      <c r="BM861" s="57"/>
    </row>
    <row r="862" spans="1:65" ht="11.25" x14ac:dyDescent="0.2">
      <c r="A862" s="57"/>
      <c r="B862" s="57"/>
      <c r="C862" s="57"/>
      <c r="D862" s="57"/>
      <c r="E862" s="57"/>
      <c r="F862" s="57"/>
      <c r="G862" s="57"/>
      <c r="H862" s="57"/>
      <c r="I862" s="57"/>
      <c r="J862" s="57"/>
      <c r="L862" s="57"/>
      <c r="M862" s="57"/>
      <c r="N862" s="57"/>
      <c r="O862" s="57"/>
      <c r="P862" s="57"/>
      <c r="Q862" s="57"/>
      <c r="R862" s="57"/>
      <c r="S862" s="57"/>
      <c r="T862" s="57"/>
      <c r="U862" s="57"/>
      <c r="V862" s="57"/>
      <c r="W862" s="57"/>
      <c r="X862" s="57"/>
      <c r="Y862" s="98"/>
      <c r="AA862" s="98"/>
      <c r="AR862" s="98"/>
      <c r="AS862" s="57"/>
      <c r="AU862" s="57"/>
      <c r="BF862" s="98"/>
      <c r="BG862" s="98"/>
      <c r="BH862" s="98"/>
      <c r="BI862" s="98"/>
      <c r="BJ862" s="98"/>
      <c r="BK862" s="98"/>
      <c r="BL862" s="98"/>
      <c r="BM862" s="57"/>
    </row>
    <row r="863" spans="1:65" ht="11.25" x14ac:dyDescent="0.2">
      <c r="A863" s="57"/>
      <c r="B863" s="57"/>
      <c r="C863" s="57"/>
      <c r="D863" s="57"/>
      <c r="E863" s="57"/>
      <c r="F863" s="57"/>
      <c r="G863" s="57"/>
      <c r="H863" s="57"/>
      <c r="I863" s="57"/>
      <c r="J863" s="57"/>
      <c r="L863" s="57"/>
      <c r="M863" s="57"/>
      <c r="N863" s="57"/>
      <c r="O863" s="57"/>
      <c r="P863" s="57"/>
      <c r="Q863" s="57"/>
      <c r="R863" s="57"/>
      <c r="S863" s="57"/>
      <c r="T863" s="57"/>
      <c r="U863" s="57"/>
      <c r="V863" s="57"/>
      <c r="W863" s="57"/>
      <c r="X863" s="57"/>
      <c r="Y863" s="98"/>
      <c r="AA863" s="98"/>
      <c r="AR863" s="98"/>
      <c r="AS863" s="57"/>
      <c r="AU863" s="57"/>
      <c r="BF863" s="98"/>
      <c r="BG863" s="98"/>
      <c r="BH863" s="98"/>
      <c r="BI863" s="98"/>
      <c r="BJ863" s="98"/>
      <c r="BK863" s="98"/>
      <c r="BL863" s="98"/>
      <c r="BM863" s="57"/>
    </row>
    <row r="864" spans="1:65" ht="11.25" x14ac:dyDescent="0.2">
      <c r="A864" s="57"/>
      <c r="B864" s="57"/>
      <c r="C864" s="57"/>
      <c r="D864" s="57"/>
      <c r="E864" s="57"/>
      <c r="F864" s="57"/>
      <c r="G864" s="57"/>
      <c r="H864" s="57"/>
      <c r="I864" s="57"/>
      <c r="J864" s="57"/>
      <c r="L864" s="57"/>
      <c r="M864" s="57"/>
      <c r="N864" s="57"/>
      <c r="O864" s="57"/>
      <c r="P864" s="57"/>
      <c r="Q864" s="57"/>
      <c r="R864" s="57"/>
      <c r="S864" s="57"/>
      <c r="T864" s="57"/>
      <c r="U864" s="57"/>
      <c r="V864" s="57"/>
      <c r="W864" s="57"/>
      <c r="X864" s="57"/>
      <c r="Y864" s="98"/>
      <c r="AA864" s="98"/>
      <c r="AR864" s="98"/>
      <c r="AS864" s="57"/>
      <c r="AU864" s="57"/>
      <c r="BF864" s="98"/>
      <c r="BG864" s="98"/>
      <c r="BH864" s="98"/>
      <c r="BI864" s="98"/>
      <c r="BJ864" s="98"/>
      <c r="BK864" s="98"/>
      <c r="BL864" s="98"/>
      <c r="BM864" s="57"/>
    </row>
    <row r="865" spans="1:65" ht="11.25" x14ac:dyDescent="0.2">
      <c r="A865" s="57"/>
      <c r="B865" s="57"/>
      <c r="C865" s="57"/>
      <c r="D865" s="57"/>
      <c r="E865" s="57"/>
      <c r="F865" s="57"/>
      <c r="G865" s="57"/>
      <c r="H865" s="57"/>
      <c r="I865" s="57"/>
      <c r="J865" s="57"/>
      <c r="L865" s="57"/>
      <c r="M865" s="57"/>
      <c r="N865" s="57"/>
      <c r="O865" s="57"/>
      <c r="P865" s="57"/>
      <c r="Q865" s="57"/>
      <c r="R865" s="57"/>
      <c r="S865" s="57"/>
      <c r="T865" s="57"/>
      <c r="U865" s="57"/>
      <c r="V865" s="57"/>
      <c r="W865" s="57"/>
      <c r="X865" s="57"/>
      <c r="Y865" s="98"/>
      <c r="AA865" s="98"/>
      <c r="AR865" s="98"/>
      <c r="AS865" s="57"/>
      <c r="AU865" s="57"/>
      <c r="BF865" s="98"/>
      <c r="BG865" s="98"/>
      <c r="BH865" s="98"/>
      <c r="BI865" s="98"/>
      <c r="BJ865" s="98"/>
      <c r="BK865" s="98"/>
      <c r="BL865" s="98"/>
      <c r="BM865" s="57"/>
    </row>
    <row r="866" spans="1:65" ht="11.25" x14ac:dyDescent="0.2">
      <c r="A866" s="57"/>
      <c r="B866" s="57"/>
      <c r="C866" s="57"/>
      <c r="D866" s="57"/>
      <c r="E866" s="57"/>
      <c r="F866" s="57"/>
      <c r="G866" s="57"/>
      <c r="H866" s="57"/>
      <c r="I866" s="57"/>
      <c r="J866" s="57"/>
      <c r="L866" s="57"/>
      <c r="M866" s="57"/>
      <c r="N866" s="57"/>
      <c r="O866" s="57"/>
      <c r="P866" s="57"/>
      <c r="Q866" s="57"/>
      <c r="R866" s="57"/>
      <c r="S866" s="57"/>
      <c r="T866" s="57"/>
      <c r="U866" s="57"/>
      <c r="V866" s="57"/>
      <c r="W866" s="57"/>
      <c r="X866" s="57"/>
      <c r="Y866" s="98"/>
      <c r="AA866" s="98"/>
      <c r="AR866" s="98"/>
      <c r="AS866" s="57"/>
      <c r="AU866" s="57"/>
      <c r="BF866" s="98"/>
      <c r="BG866" s="98"/>
      <c r="BH866" s="98"/>
      <c r="BI866" s="98"/>
      <c r="BJ866" s="98"/>
      <c r="BK866" s="98"/>
      <c r="BL866" s="98"/>
      <c r="BM866" s="57"/>
    </row>
    <row r="867" spans="1:65" ht="11.25" x14ac:dyDescent="0.2">
      <c r="A867" s="57"/>
      <c r="B867" s="57"/>
      <c r="C867" s="57"/>
      <c r="D867" s="57"/>
      <c r="E867" s="57"/>
      <c r="F867" s="57"/>
      <c r="G867" s="57"/>
      <c r="H867" s="57"/>
      <c r="I867" s="57"/>
      <c r="J867" s="57"/>
      <c r="L867" s="57"/>
      <c r="M867" s="57"/>
      <c r="N867" s="57"/>
      <c r="O867" s="57"/>
      <c r="P867" s="57"/>
      <c r="Q867" s="57"/>
      <c r="R867" s="57"/>
      <c r="S867" s="57"/>
      <c r="T867" s="57"/>
      <c r="U867" s="57"/>
      <c r="V867" s="57"/>
      <c r="W867" s="57"/>
      <c r="X867" s="57"/>
      <c r="Y867" s="98"/>
      <c r="AA867" s="98"/>
      <c r="AR867" s="98"/>
      <c r="AS867" s="57"/>
      <c r="AU867" s="57"/>
      <c r="BF867" s="98"/>
      <c r="BG867" s="98"/>
      <c r="BH867" s="98"/>
      <c r="BI867" s="98"/>
      <c r="BJ867" s="98"/>
      <c r="BK867" s="98"/>
      <c r="BL867" s="98"/>
      <c r="BM867" s="57"/>
    </row>
    <row r="868" spans="1:65" ht="11.25" x14ac:dyDescent="0.2">
      <c r="A868" s="57"/>
      <c r="B868" s="57"/>
      <c r="C868" s="57"/>
      <c r="D868" s="57"/>
      <c r="E868" s="57"/>
      <c r="F868" s="57"/>
      <c r="G868" s="57"/>
      <c r="H868" s="57"/>
      <c r="I868" s="57"/>
      <c r="J868" s="57"/>
      <c r="L868" s="57"/>
      <c r="M868" s="57"/>
      <c r="N868" s="57"/>
      <c r="O868" s="57"/>
      <c r="P868" s="57"/>
      <c r="Q868" s="57"/>
      <c r="R868" s="57"/>
      <c r="S868" s="57"/>
      <c r="T868" s="57"/>
      <c r="U868" s="57"/>
      <c r="V868" s="57"/>
      <c r="W868" s="57"/>
      <c r="X868" s="57"/>
      <c r="Y868" s="98"/>
      <c r="AA868" s="98"/>
      <c r="AR868" s="98"/>
      <c r="AS868" s="57"/>
      <c r="AU868" s="57"/>
      <c r="BF868" s="98"/>
      <c r="BG868" s="98"/>
      <c r="BH868" s="98"/>
      <c r="BI868" s="98"/>
      <c r="BJ868" s="98"/>
      <c r="BK868" s="98"/>
      <c r="BL868" s="98"/>
      <c r="BM868" s="57"/>
    </row>
    <row r="869" spans="1:65" ht="11.25" x14ac:dyDescent="0.2">
      <c r="A869" s="57"/>
      <c r="B869" s="57"/>
      <c r="C869" s="57"/>
      <c r="D869" s="57"/>
      <c r="E869" s="57"/>
      <c r="F869" s="57"/>
      <c r="G869" s="57"/>
      <c r="H869" s="57"/>
      <c r="I869" s="57"/>
      <c r="J869" s="57"/>
      <c r="L869" s="57"/>
      <c r="M869" s="57"/>
      <c r="N869" s="57"/>
      <c r="O869" s="57"/>
      <c r="P869" s="57"/>
      <c r="Q869" s="57"/>
      <c r="R869" s="57"/>
      <c r="S869" s="57"/>
      <c r="T869" s="57"/>
      <c r="U869" s="57"/>
      <c r="V869" s="57"/>
      <c r="W869" s="57"/>
      <c r="X869" s="57"/>
      <c r="Y869" s="98"/>
      <c r="AA869" s="98"/>
      <c r="AR869" s="98"/>
      <c r="AS869" s="57"/>
      <c r="AU869" s="57"/>
      <c r="BF869" s="98"/>
      <c r="BG869" s="98"/>
      <c r="BH869" s="98"/>
      <c r="BI869" s="98"/>
      <c r="BJ869" s="98"/>
      <c r="BK869" s="98"/>
      <c r="BL869" s="98"/>
      <c r="BM869" s="57"/>
    </row>
    <row r="870" spans="1:65" ht="11.25" x14ac:dyDescent="0.2">
      <c r="A870" s="57"/>
      <c r="B870" s="57"/>
      <c r="C870" s="57"/>
      <c r="D870" s="57"/>
      <c r="E870" s="57"/>
      <c r="F870" s="57"/>
      <c r="G870" s="57"/>
      <c r="H870" s="57"/>
      <c r="I870" s="57"/>
      <c r="J870" s="57"/>
      <c r="L870" s="57"/>
      <c r="M870" s="57"/>
      <c r="N870" s="57"/>
      <c r="O870" s="57"/>
      <c r="P870" s="57"/>
      <c r="Q870" s="57"/>
      <c r="R870" s="57"/>
      <c r="S870" s="57"/>
      <c r="T870" s="57"/>
      <c r="U870" s="57"/>
      <c r="V870" s="57"/>
      <c r="W870" s="57"/>
      <c r="X870" s="57"/>
      <c r="Y870" s="98"/>
      <c r="AA870" s="98"/>
      <c r="AR870" s="98"/>
      <c r="AS870" s="57"/>
      <c r="AU870" s="57"/>
      <c r="BF870" s="98"/>
      <c r="BG870" s="98"/>
      <c r="BH870" s="98"/>
      <c r="BI870" s="98"/>
      <c r="BJ870" s="98"/>
      <c r="BK870" s="98"/>
      <c r="BL870" s="98"/>
      <c r="BM870" s="57"/>
    </row>
    <row r="871" spans="1:65" ht="11.25" x14ac:dyDescent="0.2">
      <c r="A871" s="57"/>
      <c r="B871" s="57"/>
      <c r="C871" s="57"/>
      <c r="D871" s="57"/>
      <c r="E871" s="57"/>
      <c r="F871" s="57"/>
      <c r="G871" s="57"/>
      <c r="H871" s="57"/>
      <c r="I871" s="57"/>
      <c r="J871" s="57"/>
      <c r="L871" s="57"/>
      <c r="M871" s="57"/>
      <c r="N871" s="57"/>
      <c r="O871" s="57"/>
      <c r="P871" s="57"/>
      <c r="Q871" s="57"/>
      <c r="R871" s="57"/>
      <c r="S871" s="57"/>
      <c r="T871" s="57"/>
      <c r="U871" s="57"/>
      <c r="V871" s="57"/>
      <c r="W871" s="57"/>
      <c r="X871" s="57"/>
      <c r="Y871" s="98"/>
      <c r="AA871" s="98"/>
      <c r="AR871" s="98"/>
      <c r="AS871" s="57"/>
      <c r="AU871" s="57"/>
      <c r="BF871" s="98"/>
      <c r="BG871" s="98"/>
      <c r="BH871" s="98"/>
      <c r="BI871" s="98"/>
      <c r="BJ871" s="98"/>
      <c r="BK871" s="98"/>
      <c r="BL871" s="98"/>
      <c r="BM871" s="57"/>
    </row>
    <row r="872" spans="1:65" ht="11.25" x14ac:dyDescent="0.2">
      <c r="A872" s="57"/>
      <c r="B872" s="57"/>
      <c r="C872" s="57"/>
      <c r="D872" s="57"/>
      <c r="E872" s="57"/>
      <c r="F872" s="57"/>
      <c r="G872" s="57"/>
      <c r="H872" s="57"/>
      <c r="I872" s="57"/>
      <c r="J872" s="57"/>
      <c r="L872" s="57"/>
      <c r="M872" s="57"/>
      <c r="N872" s="57"/>
      <c r="O872" s="57"/>
      <c r="P872" s="57"/>
      <c r="Q872" s="57"/>
      <c r="R872" s="57"/>
      <c r="S872" s="57"/>
      <c r="T872" s="57"/>
      <c r="U872" s="57"/>
      <c r="V872" s="57"/>
      <c r="W872" s="57"/>
      <c r="X872" s="57"/>
      <c r="Y872" s="98"/>
      <c r="AA872" s="98"/>
      <c r="AR872" s="98"/>
      <c r="AS872" s="57"/>
      <c r="AU872" s="57"/>
      <c r="BF872" s="98"/>
      <c r="BG872" s="98"/>
      <c r="BH872" s="98"/>
      <c r="BI872" s="98"/>
      <c r="BJ872" s="98"/>
      <c r="BK872" s="98"/>
      <c r="BL872" s="98"/>
      <c r="BM872" s="57"/>
    </row>
    <row r="873" spans="1:65" ht="11.25" x14ac:dyDescent="0.2">
      <c r="A873" s="57"/>
      <c r="B873" s="57"/>
      <c r="C873" s="57"/>
      <c r="D873" s="57"/>
      <c r="E873" s="57"/>
      <c r="F873" s="57"/>
      <c r="G873" s="57"/>
      <c r="H873" s="57"/>
      <c r="I873" s="57"/>
      <c r="J873" s="57"/>
      <c r="L873" s="57"/>
      <c r="M873" s="57"/>
      <c r="N873" s="57"/>
      <c r="O873" s="57"/>
      <c r="P873" s="57"/>
      <c r="Q873" s="57"/>
      <c r="R873" s="57"/>
      <c r="S873" s="57"/>
      <c r="T873" s="57"/>
      <c r="U873" s="57"/>
      <c r="V873" s="57"/>
      <c r="W873" s="57"/>
      <c r="X873" s="57"/>
      <c r="Y873" s="98"/>
      <c r="AA873" s="98"/>
      <c r="AR873" s="98"/>
      <c r="AS873" s="57"/>
      <c r="AU873" s="57"/>
      <c r="BF873" s="98"/>
      <c r="BG873" s="98"/>
      <c r="BH873" s="98"/>
      <c r="BI873" s="98"/>
      <c r="BJ873" s="98"/>
      <c r="BK873" s="98"/>
      <c r="BL873" s="98"/>
      <c r="BM873" s="57"/>
    </row>
    <row r="874" spans="1:65" ht="11.25" x14ac:dyDescent="0.2">
      <c r="A874" s="57"/>
      <c r="B874" s="57"/>
      <c r="C874" s="57"/>
      <c r="D874" s="57"/>
      <c r="E874" s="57"/>
      <c r="F874" s="57"/>
      <c r="G874" s="57"/>
      <c r="H874" s="57"/>
      <c r="I874" s="57"/>
      <c r="J874" s="57"/>
      <c r="L874" s="57"/>
      <c r="M874" s="57"/>
      <c r="N874" s="57"/>
      <c r="O874" s="57"/>
      <c r="P874" s="57"/>
      <c r="Q874" s="57"/>
      <c r="R874" s="57"/>
      <c r="S874" s="57"/>
      <c r="T874" s="57"/>
      <c r="U874" s="57"/>
      <c r="V874" s="57"/>
      <c r="W874" s="57"/>
      <c r="X874" s="57"/>
      <c r="Y874" s="98"/>
      <c r="AA874" s="98"/>
      <c r="AR874" s="98"/>
      <c r="AS874" s="57"/>
      <c r="AU874" s="57"/>
      <c r="BF874" s="98"/>
      <c r="BG874" s="98"/>
      <c r="BH874" s="98"/>
      <c r="BI874" s="98"/>
      <c r="BJ874" s="98"/>
      <c r="BK874" s="98"/>
      <c r="BL874" s="98"/>
      <c r="BM874" s="57"/>
    </row>
    <row r="875" spans="1:65" ht="11.25" x14ac:dyDescent="0.2">
      <c r="A875" s="57"/>
      <c r="B875" s="57"/>
      <c r="C875" s="57"/>
      <c r="D875" s="57"/>
      <c r="E875" s="57"/>
      <c r="F875" s="57"/>
      <c r="G875" s="57"/>
      <c r="H875" s="57"/>
      <c r="I875" s="57"/>
      <c r="J875" s="57"/>
      <c r="L875" s="57"/>
      <c r="M875" s="57"/>
      <c r="N875" s="57"/>
      <c r="O875" s="57"/>
      <c r="P875" s="57"/>
      <c r="Q875" s="57"/>
      <c r="R875" s="57"/>
      <c r="S875" s="57"/>
      <c r="T875" s="57"/>
      <c r="U875" s="57"/>
      <c r="V875" s="57"/>
      <c r="W875" s="57"/>
      <c r="X875" s="57"/>
      <c r="Y875" s="98"/>
      <c r="AA875" s="98"/>
      <c r="AR875" s="98"/>
      <c r="AS875" s="57"/>
      <c r="AU875" s="57"/>
      <c r="BF875" s="98"/>
      <c r="BG875" s="98"/>
      <c r="BH875" s="98"/>
      <c r="BI875" s="98"/>
      <c r="BJ875" s="98"/>
      <c r="BK875" s="98"/>
      <c r="BL875" s="98"/>
      <c r="BM875" s="57"/>
    </row>
    <row r="876" spans="1:65" ht="11.25" x14ac:dyDescent="0.2">
      <c r="A876" s="57"/>
      <c r="B876" s="57"/>
      <c r="C876" s="57"/>
      <c r="D876" s="57"/>
      <c r="E876" s="57"/>
      <c r="F876" s="57"/>
      <c r="G876" s="57"/>
      <c r="H876" s="57"/>
      <c r="I876" s="57"/>
      <c r="J876" s="57"/>
      <c r="L876" s="57"/>
      <c r="M876" s="57"/>
      <c r="N876" s="57"/>
      <c r="O876" s="57"/>
      <c r="P876" s="57"/>
      <c r="Q876" s="57"/>
      <c r="R876" s="57"/>
      <c r="S876" s="57"/>
      <c r="T876" s="57"/>
      <c r="U876" s="57"/>
      <c r="V876" s="57"/>
      <c r="W876" s="57"/>
      <c r="X876" s="57"/>
      <c r="Y876" s="98"/>
      <c r="AA876" s="98"/>
      <c r="AR876" s="98"/>
      <c r="AS876" s="57"/>
      <c r="AU876" s="57"/>
      <c r="BF876" s="98"/>
      <c r="BG876" s="98"/>
      <c r="BH876" s="98"/>
      <c r="BI876" s="98"/>
      <c r="BJ876" s="98"/>
      <c r="BK876" s="98"/>
      <c r="BL876" s="98"/>
      <c r="BM876" s="57"/>
    </row>
    <row r="877" spans="1:65" ht="11.25" x14ac:dyDescent="0.2">
      <c r="A877" s="57"/>
      <c r="B877" s="57"/>
      <c r="C877" s="57"/>
      <c r="D877" s="57"/>
      <c r="E877" s="57"/>
      <c r="F877" s="57"/>
      <c r="G877" s="57"/>
      <c r="H877" s="57"/>
      <c r="I877" s="57"/>
      <c r="J877" s="57"/>
      <c r="L877" s="57"/>
      <c r="M877" s="57"/>
      <c r="N877" s="57"/>
      <c r="O877" s="57"/>
      <c r="P877" s="57"/>
      <c r="Q877" s="57"/>
      <c r="R877" s="57"/>
      <c r="S877" s="57"/>
      <c r="T877" s="57"/>
      <c r="U877" s="57"/>
      <c r="V877" s="57"/>
      <c r="W877" s="57"/>
      <c r="X877" s="57"/>
      <c r="Y877" s="98"/>
      <c r="AA877" s="98"/>
      <c r="AR877" s="98"/>
      <c r="AS877" s="57"/>
      <c r="AU877" s="57"/>
      <c r="BF877" s="98"/>
      <c r="BG877" s="98"/>
      <c r="BH877" s="98"/>
      <c r="BI877" s="98"/>
      <c r="BJ877" s="98"/>
      <c r="BK877" s="98"/>
      <c r="BL877" s="98"/>
      <c r="BM877" s="57"/>
    </row>
    <row r="878" spans="1:65" ht="11.25" x14ac:dyDescent="0.2">
      <c r="A878" s="57"/>
      <c r="B878" s="57"/>
      <c r="C878" s="57"/>
      <c r="D878" s="57"/>
      <c r="E878" s="57"/>
      <c r="F878" s="57"/>
      <c r="G878" s="57"/>
      <c r="H878" s="57"/>
      <c r="I878" s="57"/>
      <c r="J878" s="57"/>
      <c r="L878" s="57"/>
      <c r="M878" s="57"/>
      <c r="N878" s="57"/>
      <c r="O878" s="57"/>
      <c r="P878" s="57"/>
      <c r="Q878" s="57"/>
      <c r="R878" s="57"/>
      <c r="S878" s="57"/>
      <c r="T878" s="57"/>
      <c r="U878" s="57"/>
      <c r="V878" s="57"/>
      <c r="W878" s="57"/>
      <c r="X878" s="57"/>
      <c r="Y878" s="98"/>
      <c r="AA878" s="98"/>
      <c r="AR878" s="98"/>
      <c r="AS878" s="57"/>
      <c r="AU878" s="57"/>
      <c r="BF878" s="98"/>
      <c r="BG878" s="98"/>
      <c r="BH878" s="98"/>
      <c r="BI878" s="98"/>
      <c r="BJ878" s="98"/>
      <c r="BK878" s="98"/>
      <c r="BL878" s="98"/>
      <c r="BM878" s="57"/>
    </row>
    <row r="879" spans="1:65" ht="11.25" x14ac:dyDescent="0.2">
      <c r="A879" s="57"/>
      <c r="B879" s="57"/>
      <c r="C879" s="57"/>
      <c r="D879" s="57"/>
      <c r="E879" s="57"/>
      <c r="F879" s="57"/>
      <c r="G879" s="57"/>
      <c r="H879" s="57"/>
      <c r="I879" s="57"/>
      <c r="J879" s="57"/>
      <c r="L879" s="57"/>
      <c r="M879" s="57"/>
      <c r="N879" s="57"/>
      <c r="O879" s="57"/>
      <c r="P879" s="57"/>
      <c r="Q879" s="57"/>
      <c r="R879" s="57"/>
      <c r="S879" s="57"/>
      <c r="T879" s="57"/>
      <c r="U879" s="57"/>
      <c r="V879" s="57"/>
      <c r="W879" s="57"/>
      <c r="X879" s="57"/>
      <c r="Y879" s="98"/>
      <c r="AA879" s="98"/>
      <c r="AR879" s="98"/>
      <c r="AS879" s="57"/>
      <c r="AU879" s="57"/>
      <c r="BF879" s="98"/>
      <c r="BG879" s="98"/>
      <c r="BH879" s="98"/>
      <c r="BI879" s="98"/>
      <c r="BJ879" s="98"/>
      <c r="BK879" s="98"/>
      <c r="BL879" s="98"/>
      <c r="BM879" s="57"/>
    </row>
    <row r="880" spans="1:65" ht="11.25" x14ac:dyDescent="0.2">
      <c r="A880" s="57"/>
      <c r="B880" s="57"/>
      <c r="C880" s="57"/>
      <c r="D880" s="57"/>
      <c r="E880" s="57"/>
      <c r="F880" s="57"/>
      <c r="G880" s="57"/>
      <c r="H880" s="57"/>
      <c r="I880" s="57"/>
      <c r="J880" s="57"/>
      <c r="L880" s="57"/>
      <c r="M880" s="57"/>
      <c r="N880" s="57"/>
      <c r="O880" s="57"/>
      <c r="P880" s="57"/>
      <c r="Q880" s="57"/>
      <c r="R880" s="57"/>
      <c r="S880" s="57"/>
      <c r="T880" s="57"/>
      <c r="U880" s="57"/>
      <c r="V880" s="57"/>
      <c r="W880" s="57"/>
      <c r="X880" s="57"/>
      <c r="Y880" s="98"/>
      <c r="AA880" s="98"/>
      <c r="AR880" s="98"/>
      <c r="AS880" s="57"/>
      <c r="AU880" s="57"/>
      <c r="BF880" s="98"/>
      <c r="BG880" s="98"/>
      <c r="BH880" s="98"/>
      <c r="BI880" s="98"/>
      <c r="BJ880" s="98"/>
      <c r="BK880" s="98"/>
      <c r="BL880" s="98"/>
      <c r="BM880" s="57"/>
    </row>
    <row r="881" spans="1:65" ht="11.25" x14ac:dyDescent="0.2">
      <c r="A881" s="57"/>
      <c r="B881" s="57"/>
      <c r="C881" s="57"/>
      <c r="D881" s="57"/>
      <c r="E881" s="57"/>
      <c r="F881" s="57"/>
      <c r="G881" s="57"/>
      <c r="H881" s="57"/>
      <c r="I881" s="57"/>
      <c r="J881" s="57"/>
      <c r="L881" s="57"/>
      <c r="M881" s="57"/>
      <c r="N881" s="57"/>
      <c r="O881" s="57"/>
      <c r="P881" s="57"/>
      <c r="Q881" s="57"/>
      <c r="R881" s="57"/>
      <c r="S881" s="57"/>
      <c r="T881" s="57"/>
      <c r="U881" s="57"/>
      <c r="V881" s="57"/>
      <c r="W881" s="57"/>
      <c r="X881" s="57"/>
      <c r="Y881" s="98"/>
      <c r="AA881" s="98"/>
      <c r="AR881" s="98"/>
      <c r="AS881" s="57"/>
      <c r="AU881" s="57"/>
      <c r="BF881" s="98"/>
      <c r="BG881" s="98"/>
      <c r="BH881" s="98"/>
      <c r="BI881" s="98"/>
      <c r="BJ881" s="98"/>
      <c r="BK881" s="98"/>
      <c r="BL881" s="98"/>
      <c r="BM881" s="57"/>
    </row>
    <row r="882" spans="1:65" ht="11.25" x14ac:dyDescent="0.2">
      <c r="A882" s="57"/>
      <c r="B882" s="57"/>
      <c r="C882" s="57"/>
      <c r="D882" s="57"/>
      <c r="E882" s="57"/>
      <c r="F882" s="57"/>
      <c r="G882" s="57"/>
      <c r="H882" s="57"/>
      <c r="I882" s="57"/>
      <c r="J882" s="57"/>
      <c r="L882" s="57"/>
      <c r="M882" s="57"/>
      <c r="N882" s="57"/>
      <c r="O882" s="57"/>
      <c r="P882" s="57"/>
      <c r="Q882" s="57"/>
      <c r="R882" s="57"/>
      <c r="S882" s="57"/>
      <c r="T882" s="57"/>
      <c r="U882" s="57"/>
      <c r="V882" s="57"/>
      <c r="W882" s="57"/>
      <c r="X882" s="57"/>
      <c r="Y882" s="98"/>
      <c r="AA882" s="98"/>
      <c r="AR882" s="98"/>
      <c r="AS882" s="57"/>
      <c r="AU882" s="57"/>
      <c r="BF882" s="98"/>
      <c r="BG882" s="98"/>
      <c r="BH882" s="98"/>
      <c r="BI882" s="98"/>
      <c r="BJ882" s="98"/>
      <c r="BK882" s="98"/>
      <c r="BL882" s="98"/>
      <c r="BM882" s="57"/>
    </row>
    <row r="883" spans="1:65" ht="11.25" x14ac:dyDescent="0.2">
      <c r="A883" s="57"/>
      <c r="B883" s="57"/>
      <c r="C883" s="57"/>
      <c r="D883" s="57"/>
      <c r="E883" s="57"/>
      <c r="F883" s="57"/>
      <c r="G883" s="57"/>
      <c r="H883" s="57"/>
      <c r="I883" s="57"/>
      <c r="J883" s="57"/>
      <c r="L883" s="57"/>
      <c r="M883" s="57"/>
      <c r="N883" s="57"/>
      <c r="O883" s="57"/>
      <c r="P883" s="57"/>
      <c r="Q883" s="57"/>
      <c r="R883" s="57"/>
      <c r="S883" s="57"/>
      <c r="T883" s="57"/>
      <c r="U883" s="57"/>
      <c r="V883" s="57"/>
      <c r="W883" s="57"/>
      <c r="X883" s="57"/>
      <c r="Y883" s="98"/>
      <c r="AA883" s="98"/>
      <c r="AR883" s="98"/>
      <c r="AS883" s="57"/>
      <c r="AU883" s="57"/>
      <c r="BF883" s="98"/>
      <c r="BG883" s="98"/>
      <c r="BH883" s="98"/>
      <c r="BI883" s="98"/>
      <c r="BJ883" s="98"/>
      <c r="BK883" s="98"/>
      <c r="BL883" s="98"/>
      <c r="BM883" s="57"/>
    </row>
    <row r="884" spans="1:65" ht="11.25" x14ac:dyDescent="0.2">
      <c r="A884" s="57"/>
      <c r="B884" s="57"/>
      <c r="C884" s="57"/>
      <c r="D884" s="57"/>
      <c r="E884" s="57"/>
      <c r="F884" s="57"/>
      <c r="G884" s="57"/>
      <c r="H884" s="57"/>
      <c r="I884" s="57"/>
      <c r="J884" s="57"/>
      <c r="L884" s="57"/>
      <c r="M884" s="57"/>
      <c r="N884" s="57"/>
      <c r="O884" s="57"/>
      <c r="P884" s="57"/>
      <c r="Q884" s="57"/>
      <c r="R884" s="57"/>
      <c r="S884" s="57"/>
      <c r="T884" s="57"/>
      <c r="U884" s="57"/>
      <c r="V884" s="57"/>
      <c r="W884" s="57"/>
      <c r="X884" s="57"/>
      <c r="Y884" s="98"/>
      <c r="AA884" s="98"/>
      <c r="AR884" s="98"/>
      <c r="AS884" s="57"/>
      <c r="AU884" s="57"/>
      <c r="BF884" s="98"/>
      <c r="BG884" s="98"/>
      <c r="BH884" s="98"/>
      <c r="BI884" s="98"/>
      <c r="BJ884" s="98"/>
      <c r="BK884" s="98"/>
      <c r="BL884" s="98"/>
      <c r="BM884" s="57"/>
    </row>
    <row r="885" spans="1:65" ht="11.25" x14ac:dyDescent="0.2">
      <c r="A885" s="57"/>
      <c r="B885" s="57"/>
      <c r="C885" s="57"/>
      <c r="D885" s="57"/>
      <c r="E885" s="57"/>
      <c r="F885" s="57"/>
      <c r="G885" s="57"/>
      <c r="H885" s="57"/>
      <c r="I885" s="57"/>
      <c r="J885" s="57"/>
      <c r="L885" s="57"/>
      <c r="M885" s="57"/>
      <c r="N885" s="57"/>
      <c r="O885" s="57"/>
      <c r="P885" s="57"/>
      <c r="Q885" s="57"/>
      <c r="R885" s="57"/>
      <c r="S885" s="57"/>
      <c r="T885" s="57"/>
      <c r="U885" s="57"/>
      <c r="V885" s="57"/>
      <c r="W885" s="57"/>
      <c r="X885" s="57"/>
      <c r="Y885" s="98"/>
      <c r="AA885" s="98"/>
      <c r="AR885" s="98"/>
      <c r="AS885" s="57"/>
      <c r="AU885" s="57"/>
      <c r="BF885" s="98"/>
      <c r="BG885" s="98"/>
      <c r="BH885" s="98"/>
      <c r="BI885" s="98"/>
      <c r="BJ885" s="98"/>
      <c r="BK885" s="98"/>
      <c r="BL885" s="98"/>
      <c r="BM885" s="57"/>
    </row>
    <row r="886" spans="1:65" ht="11.25" x14ac:dyDescent="0.2">
      <c r="A886" s="57"/>
      <c r="B886" s="57"/>
      <c r="C886" s="57"/>
      <c r="D886" s="57"/>
      <c r="E886" s="57"/>
      <c r="F886" s="57"/>
      <c r="G886" s="57"/>
      <c r="H886" s="57"/>
      <c r="I886" s="57"/>
      <c r="J886" s="57"/>
      <c r="L886" s="57"/>
      <c r="M886" s="57"/>
      <c r="N886" s="57"/>
      <c r="O886" s="57"/>
      <c r="P886" s="57"/>
      <c r="Q886" s="57"/>
      <c r="R886" s="57"/>
      <c r="S886" s="57"/>
      <c r="T886" s="57"/>
      <c r="U886" s="57"/>
      <c r="V886" s="57"/>
      <c r="W886" s="57"/>
      <c r="X886" s="57"/>
      <c r="Y886" s="98"/>
      <c r="AA886" s="98"/>
      <c r="AR886" s="98"/>
      <c r="AS886" s="57"/>
      <c r="AU886" s="57"/>
      <c r="BF886" s="98"/>
      <c r="BG886" s="98"/>
      <c r="BH886" s="98"/>
      <c r="BI886" s="98"/>
      <c r="BJ886" s="98"/>
      <c r="BK886" s="98"/>
      <c r="BL886" s="98"/>
      <c r="BM886" s="57"/>
    </row>
    <row r="887" spans="1:65" ht="11.25" x14ac:dyDescent="0.2">
      <c r="A887" s="57"/>
      <c r="B887" s="57"/>
      <c r="C887" s="57"/>
      <c r="D887" s="57"/>
      <c r="E887" s="57"/>
      <c r="F887" s="57"/>
      <c r="G887" s="57"/>
      <c r="H887" s="57"/>
      <c r="I887" s="57"/>
      <c r="J887" s="57"/>
      <c r="L887" s="57"/>
      <c r="M887" s="57"/>
      <c r="N887" s="57"/>
      <c r="O887" s="57"/>
      <c r="P887" s="57"/>
      <c r="Q887" s="57"/>
      <c r="R887" s="57"/>
      <c r="S887" s="57"/>
      <c r="T887" s="57"/>
      <c r="U887" s="57"/>
      <c r="V887" s="57"/>
      <c r="W887" s="57"/>
      <c r="X887" s="57"/>
      <c r="Y887" s="98"/>
      <c r="AA887" s="98"/>
      <c r="AR887" s="98"/>
      <c r="AS887" s="57"/>
      <c r="AU887" s="57"/>
      <c r="BF887" s="98"/>
      <c r="BG887" s="98"/>
      <c r="BH887" s="98"/>
      <c r="BI887" s="98"/>
      <c r="BJ887" s="98"/>
      <c r="BK887" s="98"/>
      <c r="BL887" s="98"/>
      <c r="BM887" s="57"/>
    </row>
    <row r="888" spans="1:65" ht="11.25" x14ac:dyDescent="0.2">
      <c r="A888" s="57"/>
      <c r="B888" s="57"/>
      <c r="C888" s="57"/>
      <c r="D888" s="57"/>
      <c r="E888" s="57"/>
      <c r="F888" s="57"/>
      <c r="G888" s="57"/>
      <c r="H888" s="57"/>
      <c r="I888" s="57"/>
      <c r="J888" s="57"/>
      <c r="L888" s="57"/>
      <c r="M888" s="57"/>
      <c r="N888" s="57"/>
      <c r="O888" s="57"/>
      <c r="P888" s="57"/>
      <c r="Q888" s="57"/>
      <c r="R888" s="57"/>
      <c r="S888" s="57"/>
      <c r="T888" s="57"/>
      <c r="U888" s="57"/>
      <c r="V888" s="57"/>
      <c r="W888" s="57"/>
      <c r="X888" s="57"/>
      <c r="Y888" s="98"/>
      <c r="AA888" s="98"/>
      <c r="AR888" s="98"/>
      <c r="AS888" s="57"/>
      <c r="AU888" s="57"/>
      <c r="BF888" s="98"/>
      <c r="BG888" s="98"/>
      <c r="BH888" s="98"/>
      <c r="BI888" s="98"/>
      <c r="BJ888" s="98"/>
      <c r="BK888" s="98"/>
      <c r="BL888" s="98"/>
      <c r="BM888" s="57"/>
    </row>
    <row r="889" spans="1:65" ht="11.25" x14ac:dyDescent="0.2">
      <c r="A889" s="57"/>
      <c r="B889" s="57"/>
      <c r="C889" s="57"/>
      <c r="D889" s="57"/>
      <c r="E889" s="57"/>
      <c r="F889" s="57"/>
      <c r="G889" s="57"/>
      <c r="H889" s="57"/>
      <c r="I889" s="57"/>
      <c r="J889" s="57"/>
      <c r="L889" s="57"/>
      <c r="M889" s="57"/>
      <c r="N889" s="57"/>
      <c r="O889" s="57"/>
      <c r="P889" s="57"/>
      <c r="Q889" s="57"/>
      <c r="R889" s="57"/>
      <c r="S889" s="57"/>
      <c r="T889" s="57"/>
      <c r="U889" s="57"/>
      <c r="V889" s="57"/>
      <c r="W889" s="57"/>
      <c r="X889" s="57"/>
      <c r="Y889" s="98"/>
      <c r="AA889" s="98"/>
      <c r="AR889" s="98"/>
      <c r="AS889" s="57"/>
      <c r="AU889" s="57"/>
      <c r="BF889" s="98"/>
      <c r="BG889" s="98"/>
      <c r="BH889" s="98"/>
      <c r="BI889" s="98"/>
      <c r="BJ889" s="98"/>
      <c r="BK889" s="98"/>
      <c r="BL889" s="98"/>
      <c r="BM889" s="57"/>
    </row>
    <row r="890" spans="1:65" ht="11.25" x14ac:dyDescent="0.2">
      <c r="A890" s="57"/>
      <c r="B890" s="57"/>
      <c r="C890" s="57"/>
      <c r="D890" s="57"/>
      <c r="E890" s="57"/>
      <c r="F890" s="57"/>
      <c r="G890" s="57"/>
      <c r="H890" s="57"/>
      <c r="I890" s="57"/>
      <c r="J890" s="57"/>
      <c r="L890" s="57"/>
      <c r="M890" s="57"/>
      <c r="N890" s="57"/>
      <c r="O890" s="57"/>
      <c r="P890" s="57"/>
      <c r="Q890" s="57"/>
      <c r="R890" s="57"/>
      <c r="S890" s="57"/>
      <c r="T890" s="57"/>
      <c r="U890" s="57"/>
      <c r="V890" s="57"/>
      <c r="W890" s="57"/>
      <c r="X890" s="57"/>
      <c r="Y890" s="98"/>
      <c r="AA890" s="98"/>
      <c r="AR890" s="98"/>
      <c r="AS890" s="57"/>
      <c r="AU890" s="57"/>
      <c r="BF890" s="98"/>
      <c r="BG890" s="98"/>
      <c r="BH890" s="98"/>
      <c r="BI890" s="98"/>
      <c r="BJ890" s="98"/>
      <c r="BK890" s="98"/>
      <c r="BL890" s="98"/>
      <c r="BM890" s="57"/>
    </row>
    <row r="891" spans="1:65" ht="11.25" x14ac:dyDescent="0.2">
      <c r="A891" s="57"/>
      <c r="B891" s="57"/>
      <c r="C891" s="57"/>
      <c r="D891" s="57"/>
      <c r="E891" s="57"/>
      <c r="F891" s="57"/>
      <c r="G891" s="57"/>
      <c r="H891" s="57"/>
      <c r="I891" s="57"/>
      <c r="J891" s="57"/>
      <c r="L891" s="57"/>
      <c r="M891" s="57"/>
      <c r="N891" s="57"/>
      <c r="O891" s="57"/>
      <c r="P891" s="57"/>
      <c r="Q891" s="57"/>
      <c r="R891" s="57"/>
      <c r="S891" s="57"/>
      <c r="T891" s="57"/>
      <c r="U891" s="57"/>
      <c r="V891" s="57"/>
      <c r="W891" s="57"/>
      <c r="X891" s="57"/>
      <c r="Y891" s="98"/>
      <c r="AA891" s="98"/>
      <c r="AR891" s="98"/>
      <c r="AS891" s="57"/>
      <c r="AU891" s="57"/>
      <c r="BF891" s="98"/>
      <c r="BG891" s="98"/>
      <c r="BH891" s="98"/>
      <c r="BI891" s="98"/>
      <c r="BJ891" s="98"/>
      <c r="BK891" s="98"/>
      <c r="BL891" s="98"/>
      <c r="BM891" s="57"/>
    </row>
    <row r="892" spans="1:65" ht="11.25" x14ac:dyDescent="0.2">
      <c r="A892" s="57"/>
      <c r="B892" s="57"/>
      <c r="C892" s="57"/>
      <c r="D892" s="57"/>
      <c r="E892" s="57"/>
      <c r="F892" s="57"/>
      <c r="G892" s="57"/>
      <c r="H892" s="57"/>
      <c r="I892" s="57"/>
      <c r="J892" s="57"/>
      <c r="L892" s="57"/>
      <c r="M892" s="57"/>
      <c r="N892" s="57"/>
      <c r="O892" s="57"/>
      <c r="P892" s="57"/>
      <c r="Q892" s="57"/>
      <c r="R892" s="57"/>
      <c r="S892" s="57"/>
      <c r="T892" s="57"/>
      <c r="U892" s="57"/>
      <c r="V892" s="57"/>
      <c r="W892" s="57"/>
      <c r="X892" s="57"/>
      <c r="Y892" s="98"/>
      <c r="AA892" s="98"/>
      <c r="AR892" s="98"/>
      <c r="AS892" s="57"/>
      <c r="AU892" s="57"/>
      <c r="BF892" s="98"/>
      <c r="BG892" s="98"/>
      <c r="BH892" s="98"/>
      <c r="BI892" s="98"/>
      <c r="BJ892" s="98"/>
      <c r="BK892" s="98"/>
      <c r="BL892" s="98"/>
      <c r="BM892" s="57"/>
    </row>
    <row r="893" spans="1:65" ht="11.25" x14ac:dyDescent="0.2">
      <c r="A893" s="57"/>
      <c r="B893" s="57"/>
      <c r="C893" s="57"/>
      <c r="D893" s="57"/>
      <c r="E893" s="57"/>
      <c r="F893" s="57"/>
      <c r="G893" s="57"/>
      <c r="H893" s="57"/>
      <c r="I893" s="57"/>
      <c r="J893" s="57"/>
      <c r="L893" s="57"/>
      <c r="M893" s="57"/>
      <c r="N893" s="57"/>
      <c r="O893" s="57"/>
      <c r="P893" s="57"/>
      <c r="Q893" s="57"/>
      <c r="R893" s="57"/>
      <c r="S893" s="57"/>
      <c r="T893" s="57"/>
      <c r="U893" s="57"/>
      <c r="V893" s="57"/>
      <c r="W893" s="57"/>
      <c r="X893" s="57"/>
      <c r="Y893" s="98"/>
      <c r="AA893" s="98"/>
      <c r="AR893" s="98"/>
      <c r="AS893" s="57"/>
      <c r="AU893" s="57"/>
      <c r="BF893" s="98"/>
      <c r="BG893" s="98"/>
      <c r="BH893" s="98"/>
      <c r="BI893" s="98"/>
      <c r="BJ893" s="98"/>
      <c r="BK893" s="98"/>
      <c r="BL893" s="98"/>
      <c r="BM893" s="57"/>
    </row>
    <row r="894" spans="1:65" ht="11.25" x14ac:dyDescent="0.2">
      <c r="A894" s="57"/>
      <c r="B894" s="57"/>
      <c r="C894" s="57"/>
      <c r="D894" s="57"/>
      <c r="E894" s="57"/>
      <c r="F894" s="57"/>
      <c r="G894" s="57"/>
      <c r="H894" s="57"/>
      <c r="I894" s="57"/>
      <c r="J894" s="57"/>
      <c r="L894" s="57"/>
      <c r="M894" s="57"/>
      <c r="N894" s="57"/>
      <c r="O894" s="57"/>
      <c r="P894" s="57"/>
      <c r="Q894" s="57"/>
      <c r="R894" s="57"/>
      <c r="S894" s="57"/>
      <c r="T894" s="57"/>
      <c r="U894" s="57"/>
      <c r="V894" s="57"/>
      <c r="W894" s="57"/>
      <c r="X894" s="57"/>
      <c r="Y894" s="98"/>
      <c r="AA894" s="98"/>
      <c r="AR894" s="98"/>
      <c r="AS894" s="57"/>
      <c r="AU894" s="57"/>
      <c r="BF894" s="98"/>
      <c r="BG894" s="98"/>
      <c r="BH894" s="98"/>
      <c r="BI894" s="98"/>
      <c r="BJ894" s="98"/>
      <c r="BK894" s="98"/>
      <c r="BL894" s="98"/>
      <c r="BM894" s="57"/>
    </row>
    <row r="895" spans="1:65" ht="11.25" x14ac:dyDescent="0.2">
      <c r="A895" s="57"/>
      <c r="B895" s="57"/>
      <c r="C895" s="57"/>
      <c r="D895" s="57"/>
      <c r="E895" s="57"/>
      <c r="F895" s="57"/>
      <c r="G895" s="57"/>
      <c r="H895" s="57"/>
      <c r="I895" s="57"/>
      <c r="J895" s="57"/>
      <c r="L895" s="57"/>
      <c r="M895" s="57"/>
      <c r="N895" s="57"/>
      <c r="O895" s="57"/>
      <c r="P895" s="57"/>
      <c r="Q895" s="57"/>
      <c r="R895" s="57"/>
      <c r="S895" s="57"/>
      <c r="T895" s="57"/>
      <c r="U895" s="57"/>
      <c r="V895" s="57"/>
      <c r="W895" s="57"/>
      <c r="X895" s="57"/>
      <c r="Y895" s="98"/>
      <c r="AA895" s="98"/>
      <c r="AR895" s="98"/>
      <c r="AS895" s="57"/>
      <c r="AU895" s="57"/>
      <c r="BF895" s="98"/>
      <c r="BG895" s="98"/>
      <c r="BH895" s="98"/>
      <c r="BI895" s="98"/>
      <c r="BJ895" s="98"/>
      <c r="BK895" s="98"/>
      <c r="BL895" s="98"/>
      <c r="BM895" s="57"/>
    </row>
    <row r="896" spans="1:65" ht="11.25" x14ac:dyDescent="0.2">
      <c r="A896" s="57"/>
      <c r="B896" s="57"/>
      <c r="C896" s="57"/>
      <c r="D896" s="57"/>
      <c r="E896" s="57"/>
      <c r="F896" s="57"/>
      <c r="G896" s="57"/>
      <c r="H896" s="57"/>
      <c r="I896" s="57"/>
      <c r="J896" s="57"/>
      <c r="L896" s="57"/>
      <c r="M896" s="57"/>
      <c r="N896" s="57"/>
      <c r="O896" s="57"/>
      <c r="P896" s="57"/>
      <c r="Q896" s="57"/>
      <c r="R896" s="57"/>
      <c r="S896" s="57"/>
      <c r="T896" s="57"/>
      <c r="U896" s="57"/>
      <c r="V896" s="57"/>
      <c r="W896" s="57"/>
      <c r="X896" s="57"/>
      <c r="Y896" s="98"/>
      <c r="AA896" s="98"/>
      <c r="AR896" s="98"/>
      <c r="AS896" s="57"/>
      <c r="AU896" s="57"/>
      <c r="BF896" s="98"/>
      <c r="BG896" s="98"/>
      <c r="BH896" s="98"/>
      <c r="BI896" s="98"/>
      <c r="BJ896" s="98"/>
      <c r="BK896" s="98"/>
      <c r="BL896" s="98"/>
      <c r="BM896" s="57"/>
    </row>
    <row r="897" spans="1:65" ht="11.25" x14ac:dyDescent="0.2">
      <c r="A897" s="57"/>
      <c r="B897" s="57"/>
      <c r="C897" s="57"/>
      <c r="D897" s="57"/>
      <c r="E897" s="57"/>
      <c r="F897" s="57"/>
      <c r="G897" s="57"/>
      <c r="H897" s="57"/>
      <c r="I897" s="57"/>
      <c r="J897" s="57"/>
      <c r="L897" s="57"/>
      <c r="M897" s="57"/>
      <c r="N897" s="57"/>
      <c r="O897" s="57"/>
      <c r="P897" s="57"/>
      <c r="Q897" s="57"/>
      <c r="R897" s="57"/>
      <c r="S897" s="57"/>
      <c r="T897" s="57"/>
      <c r="U897" s="57"/>
      <c r="V897" s="57"/>
      <c r="W897" s="57"/>
      <c r="X897" s="57"/>
      <c r="Y897" s="98"/>
      <c r="AA897" s="98"/>
      <c r="AR897" s="98"/>
      <c r="AS897" s="57"/>
      <c r="AU897" s="57"/>
      <c r="BF897" s="98"/>
      <c r="BG897" s="98"/>
      <c r="BH897" s="98"/>
      <c r="BI897" s="98"/>
      <c r="BJ897" s="98"/>
      <c r="BK897" s="98"/>
      <c r="BL897" s="98"/>
      <c r="BM897" s="57"/>
    </row>
    <row r="898" spans="1:65" ht="11.25" x14ac:dyDescent="0.2">
      <c r="A898" s="57"/>
      <c r="B898" s="57"/>
      <c r="C898" s="57"/>
      <c r="D898" s="57"/>
      <c r="E898" s="57"/>
      <c r="F898" s="57"/>
      <c r="G898" s="57"/>
      <c r="H898" s="57"/>
      <c r="I898" s="57"/>
      <c r="J898" s="57"/>
      <c r="L898" s="57"/>
      <c r="M898" s="57"/>
      <c r="N898" s="57"/>
      <c r="O898" s="57"/>
      <c r="P898" s="57"/>
      <c r="Q898" s="57"/>
      <c r="R898" s="57"/>
      <c r="S898" s="57"/>
      <c r="T898" s="57"/>
      <c r="U898" s="57"/>
      <c r="V898" s="57"/>
      <c r="W898" s="57"/>
      <c r="X898" s="57"/>
      <c r="Y898" s="98"/>
      <c r="AA898" s="98"/>
      <c r="AR898" s="98"/>
      <c r="AS898" s="57"/>
      <c r="AU898" s="57"/>
      <c r="BF898" s="98"/>
      <c r="BG898" s="98"/>
      <c r="BH898" s="98"/>
      <c r="BI898" s="98"/>
      <c r="BJ898" s="98"/>
      <c r="BK898" s="98"/>
      <c r="BL898" s="98"/>
      <c r="BM898" s="57"/>
    </row>
    <row r="899" spans="1:65" ht="11.25" x14ac:dyDescent="0.2">
      <c r="A899" s="57"/>
      <c r="B899" s="57"/>
      <c r="C899" s="57"/>
      <c r="D899" s="57"/>
      <c r="E899" s="57"/>
      <c r="F899" s="57"/>
      <c r="G899" s="57"/>
      <c r="H899" s="57"/>
      <c r="I899" s="57"/>
      <c r="J899" s="57"/>
      <c r="L899" s="57"/>
      <c r="M899" s="57"/>
      <c r="N899" s="57"/>
      <c r="O899" s="57"/>
      <c r="P899" s="57"/>
      <c r="Q899" s="57"/>
      <c r="R899" s="57"/>
      <c r="S899" s="57"/>
      <c r="T899" s="57"/>
      <c r="U899" s="57"/>
      <c r="V899" s="57"/>
      <c r="W899" s="57"/>
      <c r="X899" s="57"/>
      <c r="Y899" s="98"/>
      <c r="AA899" s="98"/>
      <c r="AR899" s="98"/>
      <c r="AS899" s="57"/>
      <c r="AU899" s="57"/>
      <c r="BF899" s="98"/>
      <c r="BG899" s="98"/>
      <c r="BH899" s="98"/>
      <c r="BI899" s="98"/>
      <c r="BJ899" s="98"/>
      <c r="BK899" s="98"/>
      <c r="BL899" s="98"/>
      <c r="BM899" s="57"/>
    </row>
    <row r="900" spans="1:65" ht="11.25" x14ac:dyDescent="0.2">
      <c r="A900" s="57"/>
      <c r="B900" s="57"/>
      <c r="C900" s="57"/>
      <c r="D900" s="57"/>
      <c r="E900" s="57"/>
      <c r="F900" s="57"/>
      <c r="G900" s="57"/>
      <c r="H900" s="57"/>
      <c r="I900" s="57"/>
      <c r="J900" s="57"/>
      <c r="L900" s="57"/>
      <c r="M900" s="57"/>
      <c r="N900" s="57"/>
      <c r="O900" s="57"/>
      <c r="P900" s="57"/>
      <c r="Q900" s="57"/>
      <c r="R900" s="57"/>
      <c r="S900" s="57"/>
      <c r="T900" s="57"/>
      <c r="U900" s="57"/>
      <c r="V900" s="57"/>
      <c r="W900" s="57"/>
      <c r="X900" s="57"/>
      <c r="Y900" s="98"/>
      <c r="AA900" s="98"/>
      <c r="AR900" s="98"/>
      <c r="AS900" s="57"/>
      <c r="AU900" s="57"/>
      <c r="BF900" s="98"/>
      <c r="BG900" s="98"/>
      <c r="BH900" s="98"/>
      <c r="BI900" s="98"/>
      <c r="BJ900" s="98"/>
      <c r="BK900" s="98"/>
      <c r="BL900" s="98"/>
      <c r="BM900" s="57"/>
    </row>
    <row r="901" spans="1:65" ht="11.25" x14ac:dyDescent="0.2">
      <c r="A901" s="57"/>
      <c r="B901" s="57"/>
      <c r="C901" s="57"/>
      <c r="D901" s="57"/>
      <c r="E901" s="57"/>
      <c r="F901" s="57"/>
      <c r="G901" s="57"/>
      <c r="H901" s="57"/>
      <c r="I901" s="57"/>
      <c r="J901" s="57"/>
      <c r="L901" s="57"/>
      <c r="M901" s="57"/>
      <c r="N901" s="57"/>
      <c r="O901" s="57"/>
      <c r="P901" s="57"/>
      <c r="Q901" s="57"/>
      <c r="R901" s="57"/>
      <c r="S901" s="57"/>
      <c r="T901" s="57"/>
      <c r="U901" s="57"/>
      <c r="V901" s="57"/>
      <c r="W901" s="57"/>
      <c r="X901" s="57"/>
      <c r="Y901" s="98"/>
      <c r="AA901" s="98"/>
      <c r="AR901" s="98"/>
      <c r="AS901" s="57"/>
      <c r="AU901" s="57"/>
      <c r="BF901" s="98"/>
      <c r="BG901" s="98"/>
      <c r="BH901" s="98"/>
      <c r="BI901" s="98"/>
      <c r="BJ901" s="98"/>
      <c r="BK901" s="98"/>
      <c r="BL901" s="98"/>
      <c r="BM901" s="57"/>
    </row>
    <row r="902" spans="1:65" ht="11.25" x14ac:dyDescent="0.2">
      <c r="A902" s="57"/>
      <c r="B902" s="57"/>
      <c r="C902" s="57"/>
      <c r="D902" s="57"/>
      <c r="E902" s="57"/>
      <c r="F902" s="57"/>
      <c r="G902" s="57"/>
      <c r="H902" s="57"/>
      <c r="I902" s="57"/>
      <c r="J902" s="57"/>
      <c r="L902" s="57"/>
      <c r="M902" s="57"/>
      <c r="N902" s="57"/>
      <c r="O902" s="57"/>
      <c r="P902" s="57"/>
      <c r="Q902" s="57"/>
      <c r="R902" s="57"/>
      <c r="S902" s="57"/>
      <c r="T902" s="57"/>
      <c r="U902" s="57"/>
      <c r="V902" s="57"/>
      <c r="W902" s="57"/>
      <c r="X902" s="57"/>
      <c r="Y902" s="98"/>
      <c r="AA902" s="98"/>
      <c r="AR902" s="98"/>
      <c r="AS902" s="57"/>
      <c r="AU902" s="57"/>
      <c r="BF902" s="98"/>
      <c r="BG902" s="98"/>
      <c r="BH902" s="98"/>
      <c r="BI902" s="98"/>
      <c r="BJ902" s="98"/>
      <c r="BK902" s="98"/>
      <c r="BL902" s="98"/>
      <c r="BM902" s="57"/>
    </row>
    <row r="903" spans="1:65" ht="11.25" x14ac:dyDescent="0.2">
      <c r="A903" s="57"/>
      <c r="B903" s="57"/>
      <c r="C903" s="57"/>
      <c r="D903" s="57"/>
      <c r="E903" s="57"/>
      <c r="F903" s="57"/>
      <c r="G903" s="57"/>
      <c r="H903" s="57"/>
      <c r="I903" s="57"/>
      <c r="J903" s="57"/>
      <c r="L903" s="57"/>
      <c r="M903" s="57"/>
      <c r="N903" s="57"/>
      <c r="O903" s="57"/>
      <c r="P903" s="57"/>
      <c r="Q903" s="57"/>
      <c r="R903" s="57"/>
      <c r="S903" s="57"/>
      <c r="T903" s="57"/>
      <c r="U903" s="57"/>
      <c r="V903" s="57"/>
      <c r="W903" s="57"/>
      <c r="X903" s="57"/>
      <c r="Y903" s="98"/>
      <c r="AA903" s="98"/>
      <c r="AR903" s="98"/>
      <c r="AS903" s="57"/>
      <c r="AU903" s="57"/>
      <c r="BF903" s="98"/>
      <c r="BG903" s="98"/>
      <c r="BH903" s="98"/>
      <c r="BI903" s="98"/>
      <c r="BJ903" s="98"/>
      <c r="BK903" s="98"/>
      <c r="BL903" s="98"/>
      <c r="BM903" s="57"/>
    </row>
    <row r="904" spans="1:65" ht="11.25" x14ac:dyDescent="0.2">
      <c r="A904" s="57"/>
      <c r="B904" s="57"/>
      <c r="C904" s="57"/>
      <c r="D904" s="57"/>
      <c r="E904" s="57"/>
      <c r="F904" s="57"/>
      <c r="G904" s="57"/>
      <c r="H904" s="57"/>
      <c r="I904" s="57"/>
      <c r="J904" s="57"/>
      <c r="L904" s="57"/>
      <c r="M904" s="57"/>
      <c r="N904" s="57"/>
      <c r="O904" s="57"/>
      <c r="P904" s="57"/>
      <c r="Q904" s="57"/>
      <c r="R904" s="57"/>
      <c r="S904" s="57"/>
      <c r="T904" s="57"/>
      <c r="U904" s="57"/>
      <c r="V904" s="57"/>
      <c r="W904" s="57"/>
      <c r="X904" s="57"/>
      <c r="Y904" s="98"/>
      <c r="AA904" s="98"/>
      <c r="AR904" s="98"/>
      <c r="AS904" s="57"/>
      <c r="AU904" s="57"/>
      <c r="BF904" s="98"/>
      <c r="BG904" s="98"/>
      <c r="BH904" s="98"/>
      <c r="BI904" s="98"/>
      <c r="BJ904" s="98"/>
      <c r="BK904" s="98"/>
      <c r="BL904" s="98"/>
      <c r="BM904" s="57"/>
    </row>
    <row r="905" spans="1:65" ht="11.25" x14ac:dyDescent="0.2">
      <c r="A905" s="57"/>
      <c r="B905" s="57"/>
      <c r="C905" s="57"/>
      <c r="D905" s="57"/>
      <c r="E905" s="57"/>
      <c r="F905" s="57"/>
      <c r="G905" s="57"/>
      <c r="H905" s="57"/>
      <c r="I905" s="57"/>
      <c r="J905" s="57"/>
      <c r="L905" s="57"/>
      <c r="M905" s="57"/>
      <c r="N905" s="57"/>
      <c r="O905" s="57"/>
      <c r="P905" s="57"/>
      <c r="Q905" s="57"/>
      <c r="R905" s="57"/>
      <c r="S905" s="57"/>
      <c r="T905" s="57"/>
      <c r="U905" s="57"/>
      <c r="V905" s="57"/>
      <c r="W905" s="57"/>
      <c r="X905" s="57"/>
      <c r="Y905" s="98"/>
      <c r="AA905" s="98"/>
      <c r="AR905" s="98"/>
      <c r="AS905" s="57"/>
      <c r="AU905" s="57"/>
      <c r="BF905" s="98"/>
      <c r="BG905" s="98"/>
      <c r="BH905" s="98"/>
      <c r="BI905" s="98"/>
      <c r="BJ905" s="98"/>
      <c r="BK905" s="98"/>
      <c r="BL905" s="98"/>
      <c r="BM905" s="57"/>
    </row>
    <row r="906" spans="1:65" ht="11.25" x14ac:dyDescent="0.2">
      <c r="A906" s="57"/>
      <c r="B906" s="57"/>
      <c r="C906" s="57"/>
      <c r="D906" s="57"/>
      <c r="E906" s="57"/>
      <c r="F906" s="57"/>
      <c r="G906" s="57"/>
      <c r="H906" s="57"/>
      <c r="I906" s="57"/>
      <c r="J906" s="57"/>
      <c r="L906" s="57"/>
      <c r="M906" s="57"/>
      <c r="N906" s="57"/>
      <c r="O906" s="57"/>
      <c r="P906" s="57"/>
      <c r="Q906" s="57"/>
      <c r="R906" s="57"/>
      <c r="S906" s="57"/>
      <c r="T906" s="57"/>
      <c r="U906" s="57"/>
      <c r="V906" s="57"/>
      <c r="W906" s="57"/>
      <c r="X906" s="57"/>
      <c r="Y906" s="98"/>
      <c r="AA906" s="98"/>
      <c r="AR906" s="98"/>
      <c r="AS906" s="57"/>
      <c r="AU906" s="57"/>
      <c r="BF906" s="98"/>
      <c r="BG906" s="98"/>
      <c r="BH906" s="98"/>
      <c r="BI906" s="98"/>
      <c r="BJ906" s="98"/>
      <c r="BK906" s="98"/>
      <c r="BL906" s="98"/>
      <c r="BM906" s="57"/>
    </row>
    <row r="907" spans="1:65" ht="11.25" x14ac:dyDescent="0.2">
      <c r="A907" s="57"/>
      <c r="B907" s="57"/>
      <c r="C907" s="57"/>
      <c r="D907" s="57"/>
      <c r="E907" s="57"/>
      <c r="F907" s="57"/>
      <c r="G907" s="57"/>
      <c r="H907" s="57"/>
      <c r="I907" s="57"/>
      <c r="J907" s="57"/>
      <c r="L907" s="57"/>
      <c r="M907" s="57"/>
      <c r="N907" s="57"/>
      <c r="O907" s="57"/>
      <c r="P907" s="57"/>
      <c r="Q907" s="57"/>
      <c r="R907" s="57"/>
      <c r="S907" s="57"/>
      <c r="T907" s="57"/>
      <c r="U907" s="57"/>
      <c r="V907" s="57"/>
      <c r="W907" s="57"/>
      <c r="X907" s="57"/>
      <c r="Y907" s="98"/>
      <c r="AA907" s="98"/>
      <c r="AR907" s="98"/>
      <c r="AS907" s="57"/>
      <c r="AU907" s="57"/>
      <c r="BF907" s="98"/>
      <c r="BG907" s="98"/>
      <c r="BH907" s="98"/>
      <c r="BI907" s="98"/>
      <c r="BJ907" s="98"/>
      <c r="BK907" s="98"/>
      <c r="BL907" s="98"/>
      <c r="BM907" s="57"/>
    </row>
    <row r="908" spans="1:65" ht="11.25" x14ac:dyDescent="0.2">
      <c r="A908" s="57"/>
      <c r="B908" s="57"/>
      <c r="C908" s="57"/>
      <c r="D908" s="57"/>
      <c r="E908" s="57"/>
      <c r="F908" s="57"/>
      <c r="G908" s="57"/>
      <c r="H908" s="57"/>
      <c r="I908" s="57"/>
      <c r="J908" s="57"/>
      <c r="L908" s="57"/>
      <c r="M908" s="57"/>
      <c r="N908" s="57"/>
      <c r="O908" s="57"/>
      <c r="P908" s="57"/>
      <c r="Q908" s="57"/>
      <c r="R908" s="57"/>
      <c r="S908" s="57"/>
      <c r="T908" s="57"/>
      <c r="U908" s="57"/>
      <c r="V908" s="57"/>
      <c r="W908" s="57"/>
      <c r="X908" s="57"/>
      <c r="Y908" s="98"/>
      <c r="AA908" s="98"/>
      <c r="AR908" s="98"/>
      <c r="AS908" s="57"/>
      <c r="AU908" s="57"/>
      <c r="BF908" s="98"/>
      <c r="BG908" s="98"/>
      <c r="BH908" s="98"/>
      <c r="BI908" s="98"/>
      <c r="BJ908" s="98"/>
      <c r="BK908" s="98"/>
      <c r="BL908" s="98"/>
      <c r="BM908" s="57"/>
    </row>
    <row r="909" spans="1:65" ht="11.25" x14ac:dyDescent="0.2">
      <c r="A909" s="57"/>
      <c r="B909" s="57"/>
      <c r="C909" s="57"/>
      <c r="D909" s="57"/>
      <c r="E909" s="57"/>
      <c r="F909" s="57"/>
      <c r="G909" s="57"/>
      <c r="H909" s="57"/>
      <c r="I909" s="57"/>
      <c r="J909" s="57"/>
      <c r="L909" s="57"/>
      <c r="M909" s="57"/>
      <c r="N909" s="57"/>
      <c r="O909" s="57"/>
      <c r="P909" s="57"/>
      <c r="Q909" s="57"/>
      <c r="R909" s="57"/>
      <c r="S909" s="57"/>
      <c r="T909" s="57"/>
      <c r="U909" s="57"/>
      <c r="V909" s="57"/>
      <c r="W909" s="57"/>
      <c r="X909" s="57"/>
      <c r="Y909" s="98"/>
      <c r="AA909" s="98"/>
      <c r="AR909" s="98"/>
      <c r="AS909" s="57"/>
      <c r="AU909" s="57"/>
      <c r="BF909" s="98"/>
      <c r="BG909" s="98"/>
      <c r="BH909" s="98"/>
      <c r="BI909" s="98"/>
      <c r="BJ909" s="98"/>
      <c r="BK909" s="98"/>
      <c r="BL909" s="98"/>
      <c r="BM909" s="57"/>
    </row>
    <row r="910" spans="1:65" ht="11.25" x14ac:dyDescent="0.2">
      <c r="A910" s="57"/>
      <c r="B910" s="57"/>
      <c r="C910" s="57"/>
      <c r="D910" s="57"/>
      <c r="E910" s="57"/>
      <c r="F910" s="57"/>
      <c r="G910" s="57"/>
      <c r="H910" s="57"/>
      <c r="I910" s="57"/>
      <c r="J910" s="57"/>
      <c r="L910" s="57"/>
      <c r="M910" s="57"/>
      <c r="N910" s="57"/>
      <c r="O910" s="57"/>
      <c r="P910" s="57"/>
      <c r="Q910" s="57"/>
      <c r="R910" s="57"/>
      <c r="S910" s="57"/>
      <c r="T910" s="57"/>
      <c r="U910" s="57"/>
      <c r="V910" s="57"/>
      <c r="W910" s="57"/>
      <c r="X910" s="57"/>
      <c r="Y910" s="98"/>
      <c r="AA910" s="98"/>
      <c r="AR910" s="98"/>
      <c r="AS910" s="57"/>
      <c r="AU910" s="57"/>
      <c r="BF910" s="98"/>
      <c r="BG910" s="98"/>
      <c r="BH910" s="98"/>
      <c r="BI910" s="98"/>
      <c r="BJ910" s="98"/>
      <c r="BK910" s="98"/>
      <c r="BL910" s="98"/>
      <c r="BM910" s="57"/>
    </row>
    <row r="911" spans="1:65" ht="11.25" x14ac:dyDescent="0.2">
      <c r="A911" s="57"/>
      <c r="B911" s="57"/>
      <c r="C911" s="57"/>
      <c r="D911" s="57"/>
      <c r="E911" s="57"/>
      <c r="F911" s="57"/>
      <c r="G911" s="57"/>
      <c r="H911" s="57"/>
      <c r="I911" s="57"/>
      <c r="J911" s="57"/>
      <c r="L911" s="57"/>
      <c r="M911" s="57"/>
      <c r="N911" s="57"/>
      <c r="O911" s="57"/>
      <c r="P911" s="57"/>
      <c r="Q911" s="57"/>
      <c r="R911" s="57"/>
      <c r="S911" s="57"/>
      <c r="T911" s="57"/>
      <c r="U911" s="57"/>
      <c r="V911" s="57"/>
      <c r="W911" s="57"/>
      <c r="X911" s="57"/>
      <c r="Y911" s="98"/>
      <c r="AA911" s="98"/>
      <c r="AR911" s="98"/>
      <c r="AS911" s="57"/>
      <c r="AU911" s="57"/>
      <c r="BF911" s="98"/>
      <c r="BG911" s="98"/>
      <c r="BH911" s="98"/>
      <c r="BI911" s="98"/>
      <c r="BJ911" s="98"/>
      <c r="BK911" s="98"/>
      <c r="BL911" s="98"/>
      <c r="BM911" s="57"/>
    </row>
    <row r="912" spans="1:65" ht="11.25" x14ac:dyDescent="0.2">
      <c r="A912" s="57"/>
      <c r="B912" s="57"/>
      <c r="C912" s="57"/>
      <c r="D912" s="57"/>
      <c r="E912" s="57"/>
      <c r="F912" s="57"/>
      <c r="G912" s="57"/>
      <c r="H912" s="57"/>
      <c r="I912" s="57"/>
      <c r="J912" s="57"/>
      <c r="L912" s="57"/>
      <c r="M912" s="57"/>
      <c r="N912" s="57"/>
      <c r="O912" s="57"/>
      <c r="P912" s="57"/>
      <c r="Q912" s="57"/>
      <c r="R912" s="57"/>
      <c r="S912" s="57"/>
      <c r="T912" s="57"/>
      <c r="U912" s="57"/>
      <c r="V912" s="57"/>
      <c r="W912" s="57"/>
      <c r="X912" s="57"/>
      <c r="Y912" s="98"/>
      <c r="AA912" s="98"/>
      <c r="AR912" s="98"/>
      <c r="AS912" s="57"/>
      <c r="AU912" s="57"/>
      <c r="BF912" s="98"/>
      <c r="BG912" s="98"/>
      <c r="BH912" s="98"/>
      <c r="BI912" s="98"/>
      <c r="BJ912" s="98"/>
      <c r="BK912" s="98"/>
      <c r="BL912" s="98"/>
      <c r="BM912" s="57"/>
    </row>
    <row r="913" spans="1:65" ht="11.25" x14ac:dyDescent="0.2">
      <c r="A913" s="57"/>
      <c r="B913" s="57"/>
      <c r="C913" s="57"/>
      <c r="D913" s="57"/>
      <c r="E913" s="57"/>
      <c r="F913" s="57"/>
      <c r="G913" s="57"/>
      <c r="H913" s="57"/>
      <c r="I913" s="57"/>
      <c r="J913" s="57"/>
      <c r="L913" s="57"/>
      <c r="M913" s="57"/>
      <c r="N913" s="57"/>
      <c r="O913" s="57"/>
      <c r="P913" s="57"/>
      <c r="Q913" s="57"/>
      <c r="R913" s="57"/>
      <c r="S913" s="57"/>
      <c r="T913" s="57"/>
      <c r="U913" s="57"/>
      <c r="V913" s="57"/>
      <c r="W913" s="57"/>
      <c r="X913" s="57"/>
      <c r="Y913" s="98"/>
      <c r="AA913" s="98"/>
      <c r="AR913" s="98"/>
      <c r="AS913" s="57"/>
      <c r="AU913" s="57"/>
      <c r="BF913" s="98"/>
      <c r="BG913" s="98"/>
      <c r="BH913" s="98"/>
      <c r="BI913" s="98"/>
      <c r="BJ913" s="98"/>
      <c r="BK913" s="98"/>
      <c r="BL913" s="98"/>
      <c r="BM913" s="57"/>
    </row>
    <row r="914" spans="1:65" ht="11.25" x14ac:dyDescent="0.2">
      <c r="A914" s="57"/>
      <c r="B914" s="57"/>
      <c r="C914" s="57"/>
      <c r="D914" s="57"/>
      <c r="E914" s="57"/>
      <c r="F914" s="57"/>
      <c r="G914" s="57"/>
      <c r="H914" s="57"/>
      <c r="I914" s="57"/>
      <c r="J914" s="57"/>
      <c r="L914" s="57"/>
      <c r="M914" s="57"/>
      <c r="N914" s="57"/>
      <c r="O914" s="57"/>
      <c r="P914" s="57"/>
      <c r="Q914" s="57"/>
      <c r="R914" s="57"/>
      <c r="S914" s="57"/>
      <c r="T914" s="57"/>
      <c r="U914" s="57"/>
      <c r="V914" s="57"/>
      <c r="W914" s="57"/>
      <c r="X914" s="57"/>
      <c r="Y914" s="98"/>
      <c r="AA914" s="98"/>
      <c r="AR914" s="98"/>
      <c r="AS914" s="57"/>
      <c r="AU914" s="57"/>
      <c r="BF914" s="98"/>
      <c r="BG914" s="98"/>
      <c r="BH914" s="98"/>
      <c r="BI914" s="98"/>
      <c r="BJ914" s="98"/>
      <c r="BK914" s="98"/>
      <c r="BL914" s="98"/>
      <c r="BM914" s="57"/>
    </row>
    <row r="915" spans="1:65" ht="11.25" x14ac:dyDescent="0.2">
      <c r="A915" s="57"/>
      <c r="B915" s="57"/>
      <c r="C915" s="57"/>
      <c r="D915" s="57"/>
      <c r="E915" s="57"/>
      <c r="F915" s="57"/>
      <c r="G915" s="57"/>
      <c r="H915" s="57"/>
      <c r="I915" s="57"/>
      <c r="J915" s="57"/>
      <c r="L915" s="57"/>
      <c r="M915" s="57"/>
      <c r="N915" s="57"/>
      <c r="O915" s="57"/>
      <c r="P915" s="57"/>
      <c r="Q915" s="57"/>
      <c r="R915" s="57"/>
      <c r="S915" s="57"/>
      <c r="T915" s="57"/>
      <c r="U915" s="57"/>
      <c r="V915" s="57"/>
      <c r="W915" s="57"/>
      <c r="X915" s="57"/>
      <c r="Y915" s="98"/>
      <c r="AA915" s="98"/>
      <c r="AR915" s="98"/>
      <c r="AS915" s="57"/>
      <c r="AU915" s="57"/>
      <c r="BF915" s="98"/>
      <c r="BG915" s="98"/>
      <c r="BH915" s="98"/>
      <c r="BI915" s="98"/>
      <c r="BJ915" s="98"/>
      <c r="BK915" s="98"/>
      <c r="BL915" s="98"/>
      <c r="BM915" s="57"/>
    </row>
    <row r="916" spans="1:65" ht="11.25" x14ac:dyDescent="0.2">
      <c r="A916" s="57"/>
      <c r="B916" s="57"/>
      <c r="C916" s="57"/>
      <c r="D916" s="57"/>
      <c r="E916" s="57"/>
      <c r="F916" s="57"/>
      <c r="G916" s="57"/>
      <c r="H916" s="57"/>
      <c r="I916" s="57"/>
      <c r="J916" s="57"/>
      <c r="L916" s="57"/>
      <c r="M916" s="57"/>
      <c r="N916" s="57"/>
      <c r="O916" s="57"/>
      <c r="P916" s="57"/>
      <c r="Q916" s="57"/>
      <c r="R916" s="57"/>
      <c r="S916" s="57"/>
      <c r="T916" s="57"/>
      <c r="U916" s="57"/>
      <c r="V916" s="57"/>
      <c r="W916" s="57"/>
      <c r="X916" s="57"/>
      <c r="Y916" s="98"/>
      <c r="AA916" s="98"/>
      <c r="AR916" s="98"/>
      <c r="AS916" s="57"/>
      <c r="AU916" s="57"/>
      <c r="BF916" s="98"/>
      <c r="BG916" s="98"/>
      <c r="BH916" s="98"/>
      <c r="BI916" s="98"/>
      <c r="BJ916" s="98"/>
      <c r="BK916" s="98"/>
      <c r="BL916" s="98"/>
      <c r="BM916" s="57"/>
    </row>
    <row r="917" spans="1:65" ht="11.25" x14ac:dyDescent="0.2">
      <c r="A917" s="57"/>
      <c r="B917" s="57"/>
      <c r="C917" s="57"/>
      <c r="D917" s="57"/>
      <c r="E917" s="57"/>
      <c r="F917" s="57"/>
      <c r="G917" s="57"/>
      <c r="H917" s="57"/>
      <c r="I917" s="57"/>
      <c r="J917" s="57"/>
      <c r="L917" s="57"/>
      <c r="M917" s="57"/>
      <c r="N917" s="57"/>
      <c r="O917" s="57"/>
      <c r="P917" s="57"/>
      <c r="Q917" s="57"/>
      <c r="R917" s="57"/>
      <c r="S917" s="57"/>
      <c r="T917" s="57"/>
      <c r="U917" s="57"/>
      <c r="V917" s="57"/>
      <c r="W917" s="57"/>
      <c r="X917" s="57"/>
      <c r="Y917" s="98"/>
      <c r="AA917" s="98"/>
      <c r="AR917" s="98"/>
      <c r="AS917" s="57"/>
      <c r="AU917" s="57"/>
      <c r="BF917" s="98"/>
      <c r="BG917" s="98"/>
      <c r="BH917" s="98"/>
      <c r="BI917" s="98"/>
      <c r="BJ917" s="98"/>
      <c r="BK917" s="98"/>
      <c r="BL917" s="98"/>
      <c r="BM917" s="57"/>
    </row>
    <row r="918" spans="1:65" ht="11.25" x14ac:dyDescent="0.2">
      <c r="A918" s="57"/>
      <c r="B918" s="57"/>
      <c r="C918" s="57"/>
      <c r="D918" s="57"/>
      <c r="E918" s="57"/>
      <c r="F918" s="57"/>
      <c r="G918" s="57"/>
      <c r="H918" s="57"/>
      <c r="I918" s="57"/>
      <c r="J918" s="57"/>
      <c r="L918" s="57"/>
      <c r="M918" s="57"/>
      <c r="N918" s="57"/>
      <c r="O918" s="57"/>
      <c r="P918" s="57"/>
      <c r="Q918" s="57"/>
      <c r="R918" s="57"/>
      <c r="S918" s="57"/>
      <c r="T918" s="57"/>
      <c r="U918" s="57"/>
      <c r="V918" s="57"/>
      <c r="W918" s="57"/>
      <c r="X918" s="57"/>
      <c r="Y918" s="98"/>
      <c r="AA918" s="98"/>
      <c r="AR918" s="98"/>
      <c r="AS918" s="57"/>
      <c r="AU918" s="57"/>
      <c r="BF918" s="98"/>
      <c r="BG918" s="98"/>
      <c r="BH918" s="98"/>
      <c r="BI918" s="98"/>
      <c r="BJ918" s="98"/>
      <c r="BK918" s="98"/>
      <c r="BL918" s="98"/>
      <c r="BM918" s="57"/>
    </row>
    <row r="919" spans="1:65" ht="11.25" x14ac:dyDescent="0.2">
      <c r="A919" s="57"/>
      <c r="B919" s="57"/>
      <c r="C919" s="57"/>
      <c r="D919" s="57"/>
      <c r="E919" s="57"/>
      <c r="F919" s="57"/>
      <c r="G919" s="57"/>
      <c r="H919" s="57"/>
      <c r="I919" s="57"/>
      <c r="J919" s="57"/>
      <c r="L919" s="57"/>
      <c r="M919" s="57"/>
      <c r="N919" s="57"/>
      <c r="O919" s="57"/>
      <c r="P919" s="57"/>
      <c r="Q919" s="57"/>
      <c r="R919" s="57"/>
      <c r="S919" s="57"/>
      <c r="T919" s="57"/>
      <c r="U919" s="57"/>
      <c r="V919" s="57"/>
      <c r="W919" s="57"/>
      <c r="X919" s="57"/>
      <c r="Y919" s="98"/>
      <c r="AA919" s="98"/>
      <c r="AR919" s="98"/>
      <c r="AS919" s="57"/>
      <c r="AU919" s="57"/>
      <c r="BF919" s="98"/>
      <c r="BG919" s="98"/>
      <c r="BH919" s="98"/>
      <c r="BI919" s="98"/>
      <c r="BJ919" s="98"/>
      <c r="BK919" s="98"/>
      <c r="BL919" s="98"/>
      <c r="BM919" s="57"/>
    </row>
    <row r="920" spans="1:65" ht="11.25" x14ac:dyDescent="0.2">
      <c r="A920" s="57"/>
      <c r="B920" s="57"/>
      <c r="C920" s="57"/>
      <c r="D920" s="57"/>
      <c r="E920" s="57"/>
      <c r="F920" s="57"/>
      <c r="G920" s="57"/>
      <c r="H920" s="57"/>
      <c r="I920" s="57"/>
      <c r="J920" s="57"/>
      <c r="L920" s="57"/>
      <c r="M920" s="57"/>
      <c r="N920" s="57"/>
      <c r="O920" s="57"/>
      <c r="P920" s="57"/>
      <c r="Q920" s="57"/>
      <c r="R920" s="57"/>
      <c r="S920" s="57"/>
      <c r="T920" s="57"/>
      <c r="U920" s="57"/>
      <c r="V920" s="57"/>
      <c r="W920" s="57"/>
      <c r="X920" s="57"/>
      <c r="Y920" s="98"/>
      <c r="AA920" s="98"/>
      <c r="AR920" s="98"/>
      <c r="AS920" s="57"/>
      <c r="AU920" s="57"/>
      <c r="BF920" s="98"/>
      <c r="BG920" s="98"/>
      <c r="BH920" s="98"/>
      <c r="BI920" s="98"/>
      <c r="BJ920" s="98"/>
      <c r="BK920" s="98"/>
      <c r="BL920" s="98"/>
      <c r="BM920" s="57"/>
    </row>
    <row r="921" spans="1:65" ht="11.25" x14ac:dyDescent="0.2">
      <c r="A921" s="57"/>
      <c r="B921" s="57"/>
      <c r="C921" s="57"/>
      <c r="D921" s="57"/>
      <c r="E921" s="57"/>
      <c r="F921" s="57"/>
      <c r="G921" s="57"/>
      <c r="H921" s="57"/>
      <c r="I921" s="57"/>
      <c r="J921" s="57"/>
      <c r="L921" s="57"/>
      <c r="M921" s="57"/>
      <c r="N921" s="57"/>
      <c r="O921" s="57"/>
      <c r="P921" s="57"/>
      <c r="Q921" s="57"/>
      <c r="R921" s="57"/>
      <c r="S921" s="57"/>
      <c r="T921" s="57"/>
      <c r="U921" s="57"/>
      <c r="V921" s="57"/>
      <c r="W921" s="57"/>
      <c r="X921" s="57"/>
      <c r="Y921" s="98"/>
      <c r="AA921" s="98"/>
      <c r="AR921" s="98"/>
      <c r="AS921" s="57"/>
      <c r="AU921" s="57"/>
      <c r="BF921" s="98"/>
      <c r="BG921" s="98"/>
      <c r="BH921" s="98"/>
      <c r="BI921" s="98"/>
      <c r="BJ921" s="98"/>
      <c r="BK921" s="98"/>
      <c r="BL921" s="98"/>
      <c r="BM921" s="57"/>
    </row>
    <row r="922" spans="1:65" ht="11.25" x14ac:dyDescent="0.2">
      <c r="A922" s="57"/>
      <c r="B922" s="57"/>
      <c r="C922" s="57"/>
      <c r="D922" s="57"/>
      <c r="E922" s="57"/>
      <c r="F922" s="57"/>
      <c r="G922" s="57"/>
      <c r="H922" s="57"/>
      <c r="I922" s="57"/>
      <c r="J922" s="57"/>
      <c r="L922" s="57"/>
      <c r="M922" s="57"/>
      <c r="N922" s="57"/>
      <c r="O922" s="57"/>
      <c r="P922" s="57"/>
      <c r="Q922" s="57"/>
      <c r="R922" s="57"/>
      <c r="S922" s="57"/>
      <c r="T922" s="57"/>
      <c r="U922" s="57"/>
      <c r="V922" s="57"/>
      <c r="W922" s="57"/>
      <c r="X922" s="57"/>
      <c r="Y922" s="98"/>
      <c r="AA922" s="98"/>
      <c r="AR922" s="98"/>
      <c r="AS922" s="57"/>
      <c r="AU922" s="57"/>
      <c r="BF922" s="98"/>
      <c r="BG922" s="98"/>
      <c r="BH922" s="98"/>
      <c r="BI922" s="98"/>
      <c r="BJ922" s="98"/>
      <c r="BK922" s="98"/>
      <c r="BL922" s="98"/>
      <c r="BM922" s="57"/>
    </row>
    <row r="923" spans="1:65" ht="11.25" x14ac:dyDescent="0.2">
      <c r="A923" s="57"/>
      <c r="B923" s="57"/>
      <c r="C923" s="57"/>
      <c r="D923" s="57"/>
      <c r="E923" s="57"/>
      <c r="F923" s="57"/>
      <c r="G923" s="57"/>
      <c r="H923" s="57"/>
      <c r="I923" s="57"/>
      <c r="J923" s="57"/>
      <c r="L923" s="57"/>
      <c r="M923" s="57"/>
      <c r="N923" s="57"/>
      <c r="O923" s="57"/>
      <c r="P923" s="57"/>
      <c r="Q923" s="57"/>
      <c r="R923" s="57"/>
      <c r="S923" s="57"/>
      <c r="T923" s="57"/>
      <c r="U923" s="57"/>
      <c r="V923" s="57"/>
      <c r="W923" s="57"/>
      <c r="X923" s="57"/>
      <c r="Y923" s="98"/>
      <c r="AA923" s="98"/>
      <c r="AR923" s="98"/>
      <c r="AS923" s="57"/>
      <c r="AU923" s="57"/>
      <c r="BF923" s="98"/>
      <c r="BG923" s="98"/>
      <c r="BH923" s="98"/>
      <c r="BI923" s="98"/>
      <c r="BJ923" s="98"/>
      <c r="BK923" s="98"/>
      <c r="BL923" s="98"/>
      <c r="BM923" s="57"/>
    </row>
    <row r="924" spans="1:65" ht="11.25" x14ac:dyDescent="0.2">
      <c r="A924" s="57"/>
      <c r="B924" s="57"/>
      <c r="C924" s="57"/>
      <c r="D924" s="57"/>
      <c r="E924" s="57"/>
      <c r="F924" s="57"/>
      <c r="G924" s="57"/>
      <c r="H924" s="57"/>
      <c r="I924" s="57"/>
      <c r="J924" s="57"/>
      <c r="L924" s="57"/>
      <c r="M924" s="57"/>
      <c r="N924" s="57"/>
      <c r="O924" s="57"/>
      <c r="P924" s="57"/>
      <c r="Q924" s="57"/>
      <c r="R924" s="57"/>
      <c r="S924" s="57"/>
      <c r="T924" s="57"/>
      <c r="U924" s="57"/>
      <c r="V924" s="57"/>
      <c r="W924" s="57"/>
      <c r="X924" s="57"/>
      <c r="Y924" s="98"/>
      <c r="AA924" s="98"/>
      <c r="AR924" s="98"/>
      <c r="AS924" s="57"/>
      <c r="AU924" s="57"/>
      <c r="BF924" s="98"/>
      <c r="BG924" s="98"/>
      <c r="BH924" s="98"/>
      <c r="BI924" s="98"/>
      <c r="BJ924" s="98"/>
      <c r="BK924" s="98"/>
      <c r="BL924" s="98"/>
      <c r="BM924" s="57"/>
    </row>
    <row r="925" spans="1:65" ht="11.25" x14ac:dyDescent="0.2">
      <c r="A925" s="57"/>
      <c r="B925" s="57"/>
      <c r="C925" s="57"/>
      <c r="D925" s="57"/>
      <c r="E925" s="57"/>
      <c r="F925" s="57"/>
      <c r="G925" s="57"/>
      <c r="H925" s="57"/>
      <c r="I925" s="57"/>
      <c r="J925" s="57"/>
      <c r="L925" s="57"/>
      <c r="M925" s="57"/>
      <c r="N925" s="57"/>
      <c r="O925" s="57"/>
      <c r="P925" s="57"/>
      <c r="Q925" s="57"/>
      <c r="R925" s="57"/>
      <c r="S925" s="57"/>
      <c r="T925" s="57"/>
      <c r="U925" s="57"/>
      <c r="V925" s="57"/>
      <c r="W925" s="57"/>
      <c r="X925" s="57"/>
      <c r="Y925" s="98"/>
      <c r="AA925" s="98"/>
      <c r="AR925" s="98"/>
      <c r="AS925" s="57"/>
      <c r="AU925" s="57"/>
      <c r="BF925" s="98"/>
      <c r="BG925" s="98"/>
      <c r="BH925" s="98"/>
      <c r="BI925" s="98"/>
      <c r="BJ925" s="98"/>
      <c r="BK925" s="98"/>
      <c r="BL925" s="98"/>
      <c r="BM925" s="57"/>
    </row>
    <row r="926" spans="1:65" ht="11.25" x14ac:dyDescent="0.2">
      <c r="A926" s="57"/>
      <c r="B926" s="57"/>
      <c r="C926" s="57"/>
      <c r="D926" s="57"/>
      <c r="E926" s="57"/>
      <c r="F926" s="57"/>
      <c r="G926" s="57"/>
      <c r="H926" s="57"/>
      <c r="I926" s="57"/>
      <c r="J926" s="57"/>
      <c r="L926" s="57"/>
      <c r="M926" s="57"/>
      <c r="N926" s="57"/>
      <c r="O926" s="57"/>
      <c r="P926" s="57"/>
      <c r="Q926" s="57"/>
      <c r="R926" s="57"/>
      <c r="S926" s="57"/>
      <c r="T926" s="57"/>
      <c r="U926" s="57"/>
      <c r="V926" s="57"/>
      <c r="W926" s="57"/>
      <c r="X926" s="57"/>
      <c r="Y926" s="98"/>
      <c r="AA926" s="98"/>
      <c r="AR926" s="98"/>
      <c r="AS926" s="57"/>
      <c r="AU926" s="57"/>
      <c r="BF926" s="98"/>
      <c r="BG926" s="98"/>
      <c r="BH926" s="98"/>
      <c r="BI926" s="98"/>
      <c r="BJ926" s="98"/>
      <c r="BK926" s="98"/>
      <c r="BL926" s="98"/>
      <c r="BM926" s="57"/>
    </row>
    <row r="927" spans="1:65" ht="11.25" x14ac:dyDescent="0.2">
      <c r="A927" s="57"/>
      <c r="B927" s="57"/>
      <c r="C927" s="57"/>
      <c r="D927" s="57"/>
      <c r="E927" s="57"/>
      <c r="F927" s="57"/>
      <c r="G927" s="57"/>
      <c r="H927" s="57"/>
      <c r="I927" s="57"/>
      <c r="J927" s="57"/>
      <c r="L927" s="57"/>
      <c r="M927" s="57"/>
      <c r="N927" s="57"/>
      <c r="O927" s="57"/>
      <c r="P927" s="57"/>
      <c r="Q927" s="57"/>
      <c r="R927" s="57"/>
      <c r="S927" s="57"/>
      <c r="T927" s="57"/>
      <c r="U927" s="57"/>
      <c r="V927" s="57"/>
      <c r="W927" s="57"/>
      <c r="X927" s="57"/>
      <c r="Y927" s="98"/>
      <c r="AA927" s="98"/>
      <c r="AR927" s="98"/>
      <c r="AS927" s="57"/>
      <c r="AU927" s="57"/>
      <c r="BF927" s="98"/>
      <c r="BG927" s="98"/>
      <c r="BH927" s="98"/>
      <c r="BI927" s="98"/>
      <c r="BJ927" s="98"/>
      <c r="BK927" s="98"/>
      <c r="BL927" s="98"/>
      <c r="BM927" s="57"/>
    </row>
    <row r="928" spans="1:65" ht="11.25" x14ac:dyDescent="0.2">
      <c r="A928" s="57"/>
      <c r="B928" s="57"/>
      <c r="C928" s="57"/>
      <c r="D928" s="57"/>
      <c r="E928" s="57"/>
      <c r="F928" s="57"/>
      <c r="G928" s="57"/>
      <c r="H928" s="57"/>
      <c r="I928" s="57"/>
      <c r="J928" s="57"/>
      <c r="L928" s="57"/>
      <c r="M928" s="57"/>
      <c r="N928" s="57"/>
      <c r="O928" s="57"/>
      <c r="P928" s="57"/>
      <c r="Q928" s="57"/>
      <c r="R928" s="57"/>
      <c r="S928" s="57"/>
      <c r="T928" s="57"/>
      <c r="U928" s="57"/>
      <c r="V928" s="57"/>
      <c r="W928" s="57"/>
      <c r="X928" s="57"/>
      <c r="Y928" s="98"/>
      <c r="AA928" s="98"/>
      <c r="AR928" s="98"/>
      <c r="AS928" s="57"/>
      <c r="AU928" s="57"/>
      <c r="BF928" s="98"/>
      <c r="BG928" s="98"/>
      <c r="BH928" s="98"/>
      <c r="BI928" s="98"/>
      <c r="BJ928" s="98"/>
      <c r="BK928" s="98"/>
      <c r="BL928" s="98"/>
      <c r="BM928" s="57"/>
    </row>
    <row r="929" spans="1:65" ht="11.25" x14ac:dyDescent="0.2">
      <c r="A929" s="57"/>
      <c r="B929" s="57"/>
      <c r="C929" s="57"/>
      <c r="D929" s="57"/>
      <c r="E929" s="57"/>
      <c r="F929" s="57"/>
      <c r="G929" s="57"/>
      <c r="H929" s="57"/>
      <c r="I929" s="57"/>
      <c r="J929" s="57"/>
      <c r="L929" s="57"/>
      <c r="M929" s="57"/>
      <c r="N929" s="57"/>
      <c r="O929" s="57"/>
      <c r="P929" s="57"/>
      <c r="Q929" s="57"/>
      <c r="R929" s="57"/>
      <c r="S929" s="57"/>
      <c r="T929" s="57"/>
      <c r="U929" s="57"/>
      <c r="V929" s="57"/>
      <c r="W929" s="57"/>
      <c r="X929" s="57"/>
      <c r="Y929" s="98"/>
      <c r="AA929" s="98"/>
      <c r="AR929" s="98"/>
      <c r="AS929" s="57"/>
      <c r="AU929" s="57"/>
      <c r="BF929" s="98"/>
      <c r="BG929" s="98"/>
      <c r="BH929" s="98"/>
      <c r="BI929" s="98"/>
      <c r="BJ929" s="98"/>
      <c r="BK929" s="98"/>
      <c r="BL929" s="98"/>
      <c r="BM929" s="57"/>
    </row>
    <row r="930" spans="1:65" ht="11.25" x14ac:dyDescent="0.2">
      <c r="A930" s="57"/>
      <c r="B930" s="57"/>
      <c r="C930" s="57"/>
      <c r="D930" s="57"/>
      <c r="E930" s="57"/>
      <c r="F930" s="57"/>
      <c r="G930" s="57"/>
      <c r="H930" s="57"/>
      <c r="I930" s="57"/>
      <c r="J930" s="57"/>
      <c r="L930" s="57"/>
      <c r="M930" s="57"/>
      <c r="N930" s="57"/>
      <c r="O930" s="57"/>
      <c r="P930" s="57"/>
      <c r="Q930" s="57"/>
      <c r="R930" s="57"/>
      <c r="S930" s="57"/>
      <c r="T930" s="57"/>
      <c r="U930" s="57"/>
      <c r="V930" s="57"/>
      <c r="W930" s="57"/>
      <c r="X930" s="57"/>
      <c r="Y930" s="98"/>
      <c r="AA930" s="98"/>
      <c r="AR930" s="98"/>
      <c r="AS930" s="57"/>
      <c r="AU930" s="57"/>
      <c r="BF930" s="98"/>
      <c r="BG930" s="98"/>
      <c r="BH930" s="98"/>
      <c r="BI930" s="98"/>
      <c r="BJ930" s="98"/>
      <c r="BK930" s="98"/>
      <c r="BL930" s="98"/>
      <c r="BM930" s="57"/>
    </row>
    <row r="931" spans="1:65" ht="11.25" x14ac:dyDescent="0.2">
      <c r="A931" s="57"/>
      <c r="B931" s="57"/>
      <c r="C931" s="57"/>
      <c r="D931" s="57"/>
      <c r="E931" s="57"/>
      <c r="F931" s="57"/>
      <c r="G931" s="57"/>
      <c r="H931" s="57"/>
      <c r="I931" s="57"/>
      <c r="J931" s="57"/>
      <c r="L931" s="57"/>
      <c r="M931" s="57"/>
      <c r="N931" s="57"/>
      <c r="O931" s="57"/>
      <c r="P931" s="57"/>
      <c r="Q931" s="57"/>
      <c r="R931" s="57"/>
      <c r="S931" s="57"/>
      <c r="T931" s="57"/>
      <c r="U931" s="57"/>
      <c r="V931" s="57"/>
      <c r="W931" s="57"/>
      <c r="X931" s="57"/>
      <c r="Y931" s="98"/>
      <c r="AA931" s="98"/>
      <c r="AR931" s="98"/>
      <c r="AS931" s="57"/>
      <c r="AU931" s="57"/>
      <c r="BF931" s="98"/>
      <c r="BG931" s="98"/>
      <c r="BH931" s="98"/>
      <c r="BI931" s="98"/>
      <c r="BJ931" s="98"/>
      <c r="BK931" s="98"/>
      <c r="BL931" s="98"/>
      <c r="BM931" s="57"/>
    </row>
    <row r="932" spans="1:65" ht="11.25" x14ac:dyDescent="0.2">
      <c r="A932" s="57"/>
      <c r="B932" s="57"/>
      <c r="C932" s="57"/>
      <c r="D932" s="57"/>
      <c r="E932" s="57"/>
      <c r="F932" s="57"/>
      <c r="G932" s="57"/>
      <c r="H932" s="57"/>
      <c r="I932" s="57"/>
      <c r="J932" s="57"/>
      <c r="L932" s="57"/>
      <c r="M932" s="57"/>
      <c r="N932" s="57"/>
      <c r="O932" s="57"/>
      <c r="P932" s="57"/>
      <c r="Q932" s="57"/>
      <c r="R932" s="57"/>
      <c r="S932" s="57"/>
      <c r="T932" s="57"/>
      <c r="U932" s="57"/>
      <c r="V932" s="57"/>
      <c r="W932" s="57"/>
      <c r="X932" s="57"/>
      <c r="Y932" s="98"/>
      <c r="AA932" s="98"/>
      <c r="AR932" s="98"/>
      <c r="AS932" s="57"/>
      <c r="AU932" s="57"/>
      <c r="BF932" s="98"/>
      <c r="BG932" s="98"/>
      <c r="BH932" s="98"/>
      <c r="BI932" s="98"/>
      <c r="BJ932" s="98"/>
      <c r="BK932" s="98"/>
      <c r="BL932" s="98"/>
      <c r="BM932" s="57"/>
    </row>
    <row r="933" spans="1:65" ht="11.25" x14ac:dyDescent="0.2">
      <c r="A933" s="57"/>
      <c r="B933" s="57"/>
      <c r="C933" s="57"/>
      <c r="D933" s="57"/>
      <c r="E933" s="57"/>
      <c r="F933" s="57"/>
      <c r="G933" s="57"/>
      <c r="H933" s="57"/>
      <c r="I933" s="57"/>
      <c r="J933" s="57"/>
      <c r="L933" s="57"/>
      <c r="M933" s="57"/>
      <c r="N933" s="57"/>
      <c r="O933" s="57"/>
      <c r="P933" s="57"/>
      <c r="Q933" s="57"/>
      <c r="R933" s="57"/>
      <c r="S933" s="57"/>
      <c r="T933" s="57"/>
      <c r="U933" s="57"/>
      <c r="V933" s="57"/>
      <c r="W933" s="57"/>
      <c r="X933" s="57"/>
      <c r="Y933" s="98"/>
      <c r="AA933" s="98"/>
      <c r="AR933" s="98"/>
      <c r="AS933" s="57"/>
      <c r="AU933" s="57"/>
      <c r="BF933" s="98"/>
      <c r="BG933" s="98"/>
      <c r="BH933" s="98"/>
      <c r="BI933" s="98"/>
      <c r="BJ933" s="98"/>
      <c r="BK933" s="98"/>
      <c r="BL933" s="98"/>
      <c r="BM933" s="57"/>
    </row>
    <row r="934" spans="1:65" ht="11.25" x14ac:dyDescent="0.2">
      <c r="A934" s="57"/>
      <c r="B934" s="57"/>
      <c r="C934" s="57"/>
      <c r="D934" s="57"/>
      <c r="E934" s="57"/>
      <c r="F934" s="57"/>
      <c r="G934" s="57"/>
      <c r="H934" s="57"/>
      <c r="I934" s="57"/>
      <c r="J934" s="57"/>
      <c r="L934" s="57"/>
      <c r="M934" s="57"/>
      <c r="N934" s="57"/>
      <c r="O934" s="57"/>
      <c r="P934" s="57"/>
      <c r="Q934" s="57"/>
      <c r="R934" s="57"/>
      <c r="S934" s="57"/>
      <c r="T934" s="57"/>
      <c r="U934" s="57"/>
      <c r="V934" s="57"/>
      <c r="W934" s="57"/>
      <c r="X934" s="57"/>
      <c r="Y934" s="98"/>
      <c r="AA934" s="98"/>
      <c r="AR934" s="98"/>
      <c r="AS934" s="57"/>
      <c r="AU934" s="57"/>
      <c r="BF934" s="98"/>
      <c r="BG934" s="98"/>
      <c r="BH934" s="98"/>
      <c r="BI934" s="98"/>
      <c r="BJ934" s="98"/>
      <c r="BK934" s="98"/>
      <c r="BL934" s="98"/>
      <c r="BM934" s="57"/>
    </row>
    <row r="935" spans="1:65" ht="11.25" x14ac:dyDescent="0.2">
      <c r="A935" s="57"/>
      <c r="B935" s="57"/>
      <c r="C935" s="57"/>
      <c r="D935" s="57"/>
      <c r="E935" s="57"/>
      <c r="F935" s="57"/>
      <c r="G935" s="57"/>
      <c r="H935" s="57"/>
      <c r="I935" s="57"/>
      <c r="J935" s="57"/>
      <c r="L935" s="57"/>
      <c r="M935" s="57"/>
      <c r="N935" s="57"/>
      <c r="O935" s="57"/>
      <c r="P935" s="57"/>
      <c r="Q935" s="57"/>
      <c r="R935" s="57"/>
      <c r="S935" s="57"/>
      <c r="T935" s="57"/>
      <c r="U935" s="57"/>
      <c r="V935" s="57"/>
      <c r="W935" s="57"/>
      <c r="X935" s="57"/>
      <c r="Y935" s="98"/>
      <c r="AA935" s="98"/>
      <c r="AR935" s="98"/>
      <c r="AS935" s="57"/>
      <c r="AU935" s="57"/>
      <c r="BF935" s="98"/>
      <c r="BG935" s="98"/>
      <c r="BH935" s="98"/>
      <c r="BI935" s="98"/>
      <c r="BJ935" s="98"/>
      <c r="BK935" s="98"/>
      <c r="BL935" s="98"/>
      <c r="BM935" s="57"/>
    </row>
    <row r="936" spans="1:65" ht="11.25" x14ac:dyDescent="0.2">
      <c r="A936" s="57"/>
      <c r="B936" s="57"/>
      <c r="C936" s="57"/>
      <c r="D936" s="57"/>
      <c r="E936" s="57"/>
      <c r="F936" s="57"/>
      <c r="G936" s="57"/>
      <c r="H936" s="57"/>
      <c r="I936" s="57"/>
      <c r="J936" s="57"/>
      <c r="L936" s="57"/>
      <c r="M936" s="57"/>
      <c r="N936" s="57"/>
      <c r="O936" s="57"/>
      <c r="P936" s="57"/>
      <c r="Q936" s="57"/>
      <c r="R936" s="57"/>
      <c r="S936" s="57"/>
      <c r="T936" s="57"/>
      <c r="U936" s="57"/>
      <c r="V936" s="57"/>
      <c r="W936" s="57"/>
      <c r="X936" s="57"/>
      <c r="Y936" s="98"/>
      <c r="AA936" s="98"/>
      <c r="AR936" s="98"/>
      <c r="AS936" s="57"/>
      <c r="AU936" s="57"/>
      <c r="BF936" s="98"/>
      <c r="BG936" s="98"/>
      <c r="BH936" s="98"/>
      <c r="BI936" s="98"/>
      <c r="BJ936" s="98"/>
      <c r="BK936" s="98"/>
      <c r="BL936" s="98"/>
      <c r="BM936" s="57"/>
    </row>
    <row r="937" spans="1:65" ht="11.25" x14ac:dyDescent="0.2">
      <c r="A937" s="57"/>
      <c r="B937" s="57"/>
      <c r="C937" s="57"/>
      <c r="D937" s="57"/>
      <c r="E937" s="57"/>
      <c r="F937" s="57"/>
      <c r="G937" s="57"/>
      <c r="H937" s="57"/>
      <c r="I937" s="57"/>
      <c r="J937" s="57"/>
      <c r="L937" s="57"/>
      <c r="M937" s="57"/>
      <c r="N937" s="57"/>
      <c r="O937" s="57"/>
      <c r="P937" s="57"/>
      <c r="Q937" s="57"/>
      <c r="R937" s="57"/>
      <c r="S937" s="57"/>
      <c r="T937" s="57"/>
      <c r="U937" s="57"/>
      <c r="V937" s="57"/>
      <c r="W937" s="57"/>
      <c r="X937" s="57"/>
      <c r="Y937" s="98"/>
      <c r="AA937" s="98"/>
      <c r="AR937" s="98"/>
      <c r="AS937" s="57"/>
      <c r="AU937" s="57"/>
      <c r="BF937" s="98"/>
      <c r="BG937" s="98"/>
      <c r="BH937" s="98"/>
      <c r="BI937" s="98"/>
      <c r="BJ937" s="98"/>
      <c r="BK937" s="98"/>
      <c r="BL937" s="98"/>
      <c r="BM937" s="57"/>
    </row>
    <row r="938" spans="1:65" ht="11.25" x14ac:dyDescent="0.2">
      <c r="A938" s="57"/>
      <c r="B938" s="57"/>
      <c r="C938" s="57"/>
      <c r="D938" s="57"/>
      <c r="E938" s="57"/>
      <c r="F938" s="57"/>
      <c r="G938" s="57"/>
      <c r="H938" s="57"/>
      <c r="I938" s="57"/>
      <c r="J938" s="57"/>
      <c r="L938" s="57"/>
      <c r="M938" s="57"/>
      <c r="N938" s="57"/>
      <c r="O938" s="57"/>
      <c r="P938" s="57"/>
      <c r="Q938" s="57"/>
      <c r="R938" s="57"/>
      <c r="S938" s="57"/>
      <c r="T938" s="57"/>
      <c r="U938" s="57"/>
      <c r="V938" s="57"/>
      <c r="W938" s="57"/>
      <c r="X938" s="57"/>
      <c r="Y938" s="98"/>
      <c r="AA938" s="98"/>
      <c r="AR938" s="98"/>
      <c r="AS938" s="57"/>
      <c r="AU938" s="57"/>
      <c r="BF938" s="98"/>
      <c r="BG938" s="98"/>
      <c r="BH938" s="98"/>
      <c r="BI938" s="98"/>
      <c r="BJ938" s="98"/>
      <c r="BK938" s="98"/>
      <c r="BL938" s="98"/>
      <c r="BM938" s="57"/>
    </row>
    <row r="939" spans="1:65" ht="11.25" x14ac:dyDescent="0.2">
      <c r="A939" s="57"/>
      <c r="B939" s="57"/>
      <c r="C939" s="57"/>
      <c r="D939" s="57"/>
      <c r="E939" s="57"/>
      <c r="F939" s="57"/>
      <c r="G939" s="57"/>
      <c r="H939" s="57"/>
      <c r="I939" s="57"/>
      <c r="J939" s="57"/>
      <c r="L939" s="57"/>
      <c r="M939" s="57"/>
      <c r="N939" s="57"/>
      <c r="O939" s="57"/>
      <c r="P939" s="57"/>
      <c r="Q939" s="57"/>
      <c r="R939" s="57"/>
      <c r="S939" s="57"/>
      <c r="T939" s="57"/>
      <c r="U939" s="57"/>
      <c r="V939" s="57"/>
      <c r="W939" s="57"/>
      <c r="X939" s="57"/>
      <c r="Y939" s="98"/>
      <c r="AA939" s="98"/>
      <c r="AR939" s="98"/>
      <c r="AS939" s="57"/>
      <c r="AU939" s="57"/>
      <c r="BF939" s="98"/>
      <c r="BG939" s="98"/>
      <c r="BH939" s="98"/>
      <c r="BI939" s="98"/>
      <c r="BJ939" s="98"/>
      <c r="BK939" s="98"/>
      <c r="BL939" s="98"/>
      <c r="BM939" s="57"/>
    </row>
    <row r="940" spans="1:65" ht="11.25" x14ac:dyDescent="0.2">
      <c r="A940" s="57"/>
      <c r="B940" s="57"/>
      <c r="C940" s="57"/>
      <c r="D940" s="57"/>
      <c r="E940" s="57"/>
      <c r="F940" s="57"/>
      <c r="G940" s="57"/>
      <c r="H940" s="57"/>
      <c r="I940" s="57"/>
      <c r="J940" s="57"/>
      <c r="L940" s="57"/>
      <c r="M940" s="57"/>
      <c r="N940" s="57"/>
      <c r="O940" s="57"/>
      <c r="P940" s="57"/>
      <c r="Q940" s="57"/>
      <c r="R940" s="57"/>
      <c r="S940" s="57"/>
      <c r="T940" s="57"/>
      <c r="U940" s="57"/>
      <c r="V940" s="57"/>
      <c r="W940" s="57"/>
      <c r="X940" s="57"/>
      <c r="Y940" s="98"/>
      <c r="AA940" s="98"/>
      <c r="AR940" s="98"/>
      <c r="AS940" s="57"/>
      <c r="AU940" s="57"/>
      <c r="BF940" s="98"/>
      <c r="BG940" s="98"/>
      <c r="BH940" s="98"/>
      <c r="BI940" s="98"/>
      <c r="BJ940" s="98"/>
      <c r="BK940" s="98"/>
      <c r="BL940" s="98"/>
      <c r="BM940" s="57"/>
    </row>
    <row r="941" spans="1:65" ht="11.25" x14ac:dyDescent="0.2">
      <c r="A941" s="57"/>
      <c r="B941" s="57"/>
      <c r="C941" s="57"/>
      <c r="D941" s="57"/>
      <c r="E941" s="57"/>
      <c r="F941" s="57"/>
      <c r="G941" s="57"/>
      <c r="H941" s="57"/>
      <c r="I941" s="57"/>
      <c r="J941" s="57"/>
      <c r="L941" s="57"/>
      <c r="M941" s="57"/>
      <c r="N941" s="57"/>
      <c r="O941" s="57"/>
      <c r="P941" s="57"/>
      <c r="Q941" s="57"/>
      <c r="R941" s="57"/>
      <c r="S941" s="57"/>
      <c r="T941" s="57"/>
      <c r="U941" s="57"/>
      <c r="V941" s="57"/>
      <c r="W941" s="57"/>
      <c r="X941" s="57"/>
      <c r="Y941" s="98"/>
      <c r="AA941" s="98"/>
      <c r="AR941" s="98"/>
      <c r="AS941" s="57"/>
      <c r="AU941" s="57"/>
      <c r="BF941" s="98"/>
      <c r="BG941" s="98"/>
      <c r="BH941" s="98"/>
      <c r="BI941" s="98"/>
      <c r="BJ941" s="98"/>
      <c r="BK941" s="98"/>
      <c r="BL941" s="98"/>
      <c r="BM941" s="57"/>
    </row>
    <row r="942" spans="1:65" ht="11.25" x14ac:dyDescent="0.2">
      <c r="A942" s="57"/>
      <c r="B942" s="57"/>
      <c r="C942" s="57"/>
      <c r="D942" s="57"/>
      <c r="E942" s="57"/>
      <c r="F942" s="57"/>
      <c r="G942" s="57"/>
      <c r="H942" s="57"/>
      <c r="I942" s="57"/>
      <c r="J942" s="57"/>
      <c r="L942" s="57"/>
      <c r="M942" s="57"/>
      <c r="N942" s="57"/>
      <c r="O942" s="57"/>
      <c r="P942" s="57"/>
      <c r="Q942" s="57"/>
      <c r="R942" s="57"/>
      <c r="S942" s="57"/>
      <c r="T942" s="57"/>
      <c r="U942" s="57"/>
      <c r="V942" s="57"/>
      <c r="W942" s="57"/>
      <c r="X942" s="57"/>
      <c r="Y942" s="98"/>
      <c r="AA942" s="98"/>
      <c r="AR942" s="98"/>
      <c r="AS942" s="57"/>
      <c r="AU942" s="57"/>
      <c r="BF942" s="98"/>
      <c r="BG942" s="98"/>
      <c r="BH942" s="98"/>
      <c r="BI942" s="98"/>
      <c r="BJ942" s="98"/>
      <c r="BK942" s="98"/>
      <c r="BL942" s="98"/>
      <c r="BM942" s="57"/>
    </row>
    <row r="943" spans="1:65" ht="11.25" x14ac:dyDescent="0.2">
      <c r="A943" s="57"/>
      <c r="B943" s="57"/>
      <c r="C943" s="57"/>
      <c r="D943" s="57"/>
      <c r="E943" s="57"/>
      <c r="F943" s="57"/>
      <c r="G943" s="57"/>
      <c r="H943" s="57"/>
      <c r="I943" s="57"/>
      <c r="J943" s="57"/>
      <c r="L943" s="57"/>
      <c r="M943" s="57"/>
      <c r="N943" s="57"/>
      <c r="O943" s="57"/>
      <c r="P943" s="57"/>
      <c r="Q943" s="57"/>
      <c r="R943" s="57"/>
      <c r="S943" s="57"/>
      <c r="T943" s="57"/>
      <c r="U943" s="57"/>
      <c r="V943" s="57"/>
      <c r="W943" s="57"/>
      <c r="X943" s="57"/>
      <c r="Y943" s="98"/>
      <c r="AA943" s="98"/>
      <c r="AR943" s="98"/>
      <c r="AS943" s="57"/>
      <c r="AU943" s="57"/>
      <c r="BF943" s="98"/>
      <c r="BG943" s="98"/>
      <c r="BH943" s="98"/>
      <c r="BI943" s="98"/>
      <c r="BJ943" s="98"/>
      <c r="BK943" s="98"/>
      <c r="BL943" s="98"/>
      <c r="BM943" s="57"/>
    </row>
    <row r="944" spans="1:65" ht="11.25" x14ac:dyDescent="0.2">
      <c r="A944" s="57"/>
      <c r="B944" s="57"/>
      <c r="C944" s="57"/>
      <c r="D944" s="57"/>
      <c r="E944" s="57"/>
      <c r="F944" s="57"/>
      <c r="G944" s="57"/>
      <c r="H944" s="57"/>
      <c r="I944" s="57"/>
      <c r="J944" s="57"/>
      <c r="L944" s="57"/>
      <c r="M944" s="57"/>
      <c r="N944" s="57"/>
      <c r="O944" s="57"/>
      <c r="P944" s="57"/>
      <c r="Q944" s="57"/>
      <c r="R944" s="57"/>
      <c r="S944" s="57"/>
      <c r="T944" s="57"/>
      <c r="U944" s="57"/>
      <c r="V944" s="57"/>
      <c r="W944" s="57"/>
      <c r="X944" s="57"/>
      <c r="Y944" s="98"/>
      <c r="AA944" s="98"/>
      <c r="AR944" s="98"/>
      <c r="AS944" s="57"/>
      <c r="AU944" s="57"/>
      <c r="BF944" s="98"/>
      <c r="BG944" s="98"/>
      <c r="BH944" s="98"/>
      <c r="BI944" s="98"/>
      <c r="BJ944" s="98"/>
      <c r="BK944" s="98"/>
      <c r="BL944" s="98"/>
      <c r="BM944" s="57"/>
    </row>
    <row r="945" spans="1:65" ht="11.25" x14ac:dyDescent="0.2">
      <c r="A945" s="57"/>
      <c r="B945" s="57"/>
      <c r="C945" s="57"/>
      <c r="D945" s="57"/>
      <c r="E945" s="57"/>
      <c r="F945" s="57"/>
      <c r="G945" s="57"/>
      <c r="H945" s="57"/>
      <c r="I945" s="57"/>
      <c r="J945" s="57"/>
      <c r="L945" s="57"/>
      <c r="M945" s="57"/>
      <c r="N945" s="57"/>
      <c r="O945" s="57"/>
      <c r="P945" s="57"/>
      <c r="Q945" s="57"/>
      <c r="R945" s="57"/>
      <c r="S945" s="57"/>
      <c r="T945" s="57"/>
      <c r="U945" s="57"/>
      <c r="V945" s="57"/>
      <c r="W945" s="57"/>
      <c r="X945" s="57"/>
      <c r="Y945" s="98"/>
      <c r="AA945" s="98"/>
      <c r="AR945" s="98"/>
      <c r="AS945" s="57"/>
      <c r="AU945" s="57"/>
      <c r="BF945" s="98"/>
      <c r="BG945" s="98"/>
      <c r="BH945" s="98"/>
      <c r="BI945" s="98"/>
      <c r="BJ945" s="98"/>
      <c r="BK945" s="98"/>
      <c r="BL945" s="98"/>
      <c r="BM945" s="57"/>
    </row>
    <row r="946" spans="1:65" ht="11.25" x14ac:dyDescent="0.2">
      <c r="A946" s="57"/>
      <c r="B946" s="57"/>
      <c r="C946" s="57"/>
      <c r="D946" s="57"/>
      <c r="E946" s="57"/>
      <c r="F946" s="57"/>
      <c r="G946" s="57"/>
      <c r="H946" s="57"/>
      <c r="I946" s="57"/>
      <c r="J946" s="57"/>
      <c r="L946" s="57"/>
      <c r="M946" s="57"/>
      <c r="N946" s="57"/>
      <c r="O946" s="57"/>
      <c r="P946" s="57"/>
      <c r="Q946" s="57"/>
      <c r="R946" s="57"/>
      <c r="S946" s="57"/>
      <c r="T946" s="57"/>
      <c r="U946" s="57"/>
      <c r="V946" s="57"/>
      <c r="W946" s="57"/>
      <c r="X946" s="57"/>
      <c r="Y946" s="98"/>
      <c r="AA946" s="98"/>
      <c r="AR946" s="98"/>
      <c r="AS946" s="57"/>
      <c r="AU946" s="57"/>
      <c r="BF946" s="98"/>
      <c r="BG946" s="98"/>
      <c r="BH946" s="98"/>
      <c r="BI946" s="98"/>
      <c r="BJ946" s="98"/>
      <c r="BK946" s="98"/>
      <c r="BL946" s="98"/>
      <c r="BM946" s="57"/>
    </row>
    <row r="947" spans="1:65" ht="11.25" x14ac:dyDescent="0.2">
      <c r="A947" s="57"/>
      <c r="B947" s="57"/>
      <c r="C947" s="57"/>
      <c r="D947" s="57"/>
      <c r="E947" s="57"/>
      <c r="F947" s="57"/>
      <c r="G947" s="57"/>
      <c r="H947" s="57"/>
      <c r="I947" s="57"/>
      <c r="J947" s="57"/>
      <c r="L947" s="57"/>
      <c r="M947" s="57"/>
      <c r="N947" s="57"/>
      <c r="O947" s="57"/>
      <c r="P947" s="57"/>
      <c r="Q947" s="57"/>
      <c r="R947" s="57"/>
      <c r="S947" s="57"/>
      <c r="T947" s="57"/>
      <c r="U947" s="57"/>
      <c r="V947" s="57"/>
      <c r="W947" s="57"/>
      <c r="X947" s="57"/>
      <c r="Y947" s="98"/>
      <c r="AA947" s="98"/>
      <c r="AR947" s="98"/>
      <c r="AS947" s="57"/>
      <c r="AU947" s="57"/>
      <c r="BF947" s="98"/>
      <c r="BG947" s="98"/>
      <c r="BH947" s="98"/>
      <c r="BI947" s="98"/>
      <c r="BJ947" s="98"/>
      <c r="BK947" s="98"/>
      <c r="BL947" s="98"/>
      <c r="BM947" s="57"/>
    </row>
    <row r="948" spans="1:65" ht="11.25" x14ac:dyDescent="0.2">
      <c r="A948" s="57"/>
      <c r="B948" s="57"/>
      <c r="C948" s="57"/>
      <c r="D948" s="57"/>
      <c r="E948" s="57"/>
      <c r="F948" s="57"/>
      <c r="G948" s="57"/>
      <c r="H948" s="57"/>
      <c r="I948" s="57"/>
      <c r="J948" s="57"/>
      <c r="L948" s="57"/>
      <c r="M948" s="57"/>
      <c r="N948" s="57"/>
      <c r="O948" s="57"/>
      <c r="P948" s="57"/>
      <c r="Q948" s="57"/>
      <c r="R948" s="57"/>
      <c r="S948" s="57"/>
      <c r="T948" s="57"/>
      <c r="U948" s="57"/>
      <c r="V948" s="57"/>
      <c r="W948" s="57"/>
      <c r="X948" s="57"/>
      <c r="Y948" s="98"/>
      <c r="AA948" s="98"/>
      <c r="AR948" s="98"/>
      <c r="AS948" s="57"/>
      <c r="AU948" s="57"/>
      <c r="BF948" s="98"/>
      <c r="BG948" s="98"/>
      <c r="BH948" s="98"/>
      <c r="BI948" s="98"/>
      <c r="BJ948" s="98"/>
      <c r="BK948" s="98"/>
      <c r="BL948" s="98"/>
      <c r="BM948" s="57"/>
    </row>
    <row r="949" spans="1:65" ht="11.25" x14ac:dyDescent="0.2">
      <c r="A949" s="57"/>
      <c r="B949" s="57"/>
      <c r="C949" s="57"/>
      <c r="D949" s="57"/>
      <c r="E949" s="57"/>
      <c r="F949" s="57"/>
      <c r="G949" s="57"/>
      <c r="H949" s="57"/>
      <c r="I949" s="57"/>
      <c r="J949" s="57"/>
      <c r="L949" s="57"/>
      <c r="M949" s="57"/>
      <c r="N949" s="57"/>
      <c r="O949" s="57"/>
      <c r="P949" s="57"/>
      <c r="Q949" s="57"/>
      <c r="R949" s="57"/>
      <c r="S949" s="57"/>
      <c r="T949" s="57"/>
      <c r="U949" s="57"/>
      <c r="V949" s="57"/>
      <c r="W949" s="57"/>
      <c r="X949" s="57"/>
      <c r="Y949" s="98"/>
      <c r="AA949" s="98"/>
      <c r="AR949" s="98"/>
      <c r="AS949" s="57"/>
      <c r="AU949" s="57"/>
      <c r="BF949" s="98"/>
      <c r="BG949" s="98"/>
      <c r="BH949" s="98"/>
      <c r="BI949" s="98"/>
      <c r="BJ949" s="98"/>
      <c r="BK949" s="98"/>
      <c r="BL949" s="98"/>
      <c r="BM949" s="57"/>
    </row>
    <row r="950" spans="1:65" ht="11.25" x14ac:dyDescent="0.2">
      <c r="A950" s="57"/>
      <c r="B950" s="57"/>
      <c r="C950" s="57"/>
      <c r="D950" s="57"/>
      <c r="E950" s="57"/>
      <c r="F950" s="57"/>
      <c r="G950" s="57"/>
      <c r="H950" s="57"/>
      <c r="I950" s="57"/>
      <c r="J950" s="57"/>
      <c r="L950" s="57"/>
      <c r="M950" s="57"/>
      <c r="N950" s="57"/>
      <c r="O950" s="57"/>
      <c r="P950" s="57"/>
      <c r="Q950" s="57"/>
      <c r="R950" s="57"/>
      <c r="S950" s="57"/>
      <c r="T950" s="57"/>
      <c r="U950" s="57"/>
      <c r="V950" s="57"/>
      <c r="W950" s="57"/>
      <c r="X950" s="57"/>
      <c r="Y950" s="98"/>
      <c r="AA950" s="98"/>
      <c r="AR950" s="98"/>
      <c r="AS950" s="57"/>
      <c r="AU950" s="57"/>
      <c r="BF950" s="98"/>
      <c r="BG950" s="98"/>
      <c r="BH950" s="98"/>
      <c r="BI950" s="98"/>
      <c r="BJ950" s="98"/>
      <c r="BK950" s="98"/>
      <c r="BL950" s="98"/>
      <c r="BM950" s="57"/>
    </row>
    <row r="951" spans="1:65" ht="11.25" x14ac:dyDescent="0.2">
      <c r="A951" s="57"/>
      <c r="B951" s="57"/>
      <c r="C951" s="57"/>
      <c r="D951" s="57"/>
      <c r="E951" s="57"/>
      <c r="F951" s="57"/>
      <c r="G951" s="57"/>
      <c r="H951" s="57"/>
      <c r="I951" s="57"/>
      <c r="J951" s="57"/>
      <c r="L951" s="57"/>
      <c r="M951" s="57"/>
      <c r="N951" s="57"/>
      <c r="O951" s="57"/>
      <c r="P951" s="57"/>
      <c r="Q951" s="57"/>
      <c r="R951" s="57"/>
      <c r="S951" s="57"/>
      <c r="T951" s="57"/>
      <c r="U951" s="57"/>
      <c r="V951" s="57"/>
      <c r="W951" s="57"/>
      <c r="X951" s="57"/>
      <c r="Y951" s="98"/>
      <c r="AA951" s="98"/>
      <c r="AR951" s="98"/>
      <c r="AS951" s="57"/>
      <c r="AU951" s="57"/>
      <c r="BF951" s="98"/>
      <c r="BG951" s="98"/>
      <c r="BH951" s="98"/>
      <c r="BI951" s="98"/>
      <c r="BJ951" s="98"/>
      <c r="BK951" s="98"/>
      <c r="BL951" s="98"/>
      <c r="BM951" s="57"/>
    </row>
    <row r="952" spans="1:65" ht="11.25" x14ac:dyDescent="0.2">
      <c r="A952" s="57"/>
      <c r="B952" s="57"/>
      <c r="C952" s="57"/>
      <c r="D952" s="57"/>
      <c r="E952" s="57"/>
      <c r="F952" s="57"/>
      <c r="G952" s="57"/>
      <c r="H952" s="57"/>
      <c r="I952" s="57"/>
      <c r="J952" s="57"/>
      <c r="L952" s="57"/>
      <c r="M952" s="57"/>
      <c r="N952" s="57"/>
      <c r="O952" s="57"/>
      <c r="P952" s="57"/>
      <c r="Q952" s="57"/>
      <c r="R952" s="57"/>
      <c r="S952" s="57"/>
      <c r="T952" s="57"/>
      <c r="U952" s="57"/>
      <c r="V952" s="57"/>
      <c r="W952" s="57"/>
      <c r="X952" s="57"/>
      <c r="Y952" s="98"/>
      <c r="AA952" s="98"/>
      <c r="AR952" s="98"/>
      <c r="AS952" s="57"/>
      <c r="AU952" s="57"/>
      <c r="BF952" s="98"/>
      <c r="BG952" s="98"/>
      <c r="BH952" s="98"/>
      <c r="BI952" s="98"/>
      <c r="BJ952" s="98"/>
      <c r="BK952" s="98"/>
      <c r="BL952" s="98"/>
      <c r="BM952" s="57"/>
    </row>
    <row r="953" spans="1:65" ht="11.25" x14ac:dyDescent="0.2">
      <c r="A953" s="57"/>
      <c r="B953" s="57"/>
      <c r="C953" s="57"/>
      <c r="D953" s="57"/>
      <c r="E953" s="57"/>
      <c r="F953" s="57"/>
      <c r="G953" s="57"/>
      <c r="H953" s="57"/>
      <c r="I953" s="57"/>
      <c r="J953" s="57"/>
      <c r="L953" s="57"/>
      <c r="M953" s="57"/>
      <c r="N953" s="57"/>
      <c r="O953" s="57"/>
      <c r="P953" s="57"/>
      <c r="Q953" s="57"/>
      <c r="R953" s="57"/>
      <c r="S953" s="57"/>
      <c r="T953" s="57"/>
      <c r="U953" s="57"/>
      <c r="V953" s="57"/>
      <c r="W953" s="57"/>
      <c r="X953" s="57"/>
      <c r="Y953" s="98"/>
      <c r="AA953" s="98"/>
      <c r="AR953" s="98"/>
      <c r="AS953" s="57"/>
      <c r="AU953" s="57"/>
      <c r="BF953" s="98"/>
      <c r="BG953" s="98"/>
      <c r="BH953" s="98"/>
      <c r="BI953" s="98"/>
      <c r="BJ953" s="98"/>
      <c r="BK953" s="98"/>
      <c r="BL953" s="98"/>
      <c r="BM953" s="57"/>
    </row>
    <row r="954" spans="1:65" ht="11.25" x14ac:dyDescent="0.2">
      <c r="A954" s="57"/>
      <c r="B954" s="57"/>
      <c r="C954" s="57"/>
      <c r="D954" s="57"/>
      <c r="E954" s="57"/>
      <c r="F954" s="57"/>
      <c r="G954" s="57"/>
      <c r="H954" s="57"/>
      <c r="I954" s="57"/>
      <c r="J954" s="57"/>
      <c r="L954" s="57"/>
      <c r="M954" s="57"/>
      <c r="N954" s="57"/>
      <c r="O954" s="57"/>
      <c r="P954" s="57"/>
      <c r="Q954" s="57"/>
      <c r="R954" s="57"/>
      <c r="S954" s="57"/>
      <c r="T954" s="57"/>
      <c r="U954" s="57"/>
      <c r="V954" s="57"/>
      <c r="W954" s="57"/>
      <c r="X954" s="57"/>
      <c r="Y954" s="98"/>
      <c r="AA954" s="98"/>
      <c r="AR954" s="98"/>
      <c r="AS954" s="57"/>
      <c r="AU954" s="57"/>
      <c r="BF954" s="98"/>
      <c r="BG954" s="98"/>
      <c r="BH954" s="98"/>
      <c r="BI954" s="98"/>
      <c r="BJ954" s="98"/>
      <c r="BK954" s="98"/>
      <c r="BL954" s="98"/>
      <c r="BM954" s="57"/>
    </row>
    <row r="955" spans="1:65" ht="11.25" x14ac:dyDescent="0.2">
      <c r="A955" s="57"/>
      <c r="B955" s="57"/>
      <c r="C955" s="57"/>
      <c r="D955" s="57"/>
      <c r="E955" s="57"/>
      <c r="F955" s="57"/>
      <c r="G955" s="57"/>
      <c r="H955" s="57"/>
      <c r="I955" s="57"/>
      <c r="J955" s="57"/>
      <c r="L955" s="57"/>
      <c r="M955" s="57"/>
      <c r="N955" s="57"/>
      <c r="O955" s="57"/>
      <c r="P955" s="57"/>
      <c r="Q955" s="57"/>
      <c r="R955" s="57"/>
      <c r="S955" s="57"/>
      <c r="T955" s="57"/>
      <c r="U955" s="57"/>
      <c r="V955" s="57"/>
      <c r="W955" s="57"/>
      <c r="X955" s="57"/>
      <c r="Y955" s="98"/>
      <c r="AA955" s="98"/>
      <c r="AR955" s="98"/>
      <c r="AS955" s="57"/>
      <c r="AU955" s="57"/>
      <c r="BF955" s="98"/>
      <c r="BG955" s="98"/>
      <c r="BH955" s="98"/>
      <c r="BI955" s="98"/>
      <c r="BJ955" s="98"/>
      <c r="BK955" s="98"/>
      <c r="BL955" s="98"/>
      <c r="BM955" s="57"/>
    </row>
    <row r="956" spans="1:65" ht="11.25" x14ac:dyDescent="0.2">
      <c r="A956" s="57"/>
      <c r="B956" s="57"/>
      <c r="C956" s="57"/>
      <c r="D956" s="57"/>
      <c r="E956" s="57"/>
      <c r="F956" s="57"/>
      <c r="G956" s="57"/>
      <c r="H956" s="57"/>
      <c r="I956" s="57"/>
      <c r="J956" s="57"/>
      <c r="L956" s="57"/>
      <c r="M956" s="57"/>
      <c r="N956" s="57"/>
      <c r="O956" s="57"/>
      <c r="P956" s="57"/>
      <c r="Q956" s="57"/>
      <c r="R956" s="57"/>
      <c r="S956" s="57"/>
      <c r="T956" s="57"/>
      <c r="U956" s="57"/>
      <c r="V956" s="57"/>
      <c r="W956" s="57"/>
      <c r="X956" s="57"/>
      <c r="Y956" s="98"/>
      <c r="AA956" s="98"/>
      <c r="AR956" s="98"/>
      <c r="AS956" s="57"/>
      <c r="AU956" s="57"/>
      <c r="BF956" s="98"/>
      <c r="BG956" s="98"/>
      <c r="BH956" s="98"/>
      <c r="BI956" s="98"/>
      <c r="BJ956" s="98"/>
      <c r="BK956" s="98"/>
      <c r="BL956" s="98"/>
      <c r="BM956" s="57"/>
    </row>
    <row r="957" spans="1:65" ht="11.25" x14ac:dyDescent="0.2">
      <c r="A957" s="57"/>
      <c r="B957" s="57"/>
      <c r="C957" s="57"/>
      <c r="D957" s="57"/>
      <c r="E957" s="57"/>
      <c r="F957" s="57"/>
      <c r="G957" s="57"/>
      <c r="H957" s="57"/>
      <c r="I957" s="57"/>
      <c r="J957" s="57"/>
      <c r="L957" s="57"/>
      <c r="M957" s="57"/>
      <c r="N957" s="57"/>
      <c r="O957" s="57"/>
      <c r="P957" s="57"/>
      <c r="Q957" s="57"/>
      <c r="R957" s="57"/>
      <c r="S957" s="57"/>
      <c r="T957" s="57"/>
      <c r="U957" s="57"/>
      <c r="V957" s="57"/>
      <c r="W957" s="57"/>
      <c r="X957" s="57"/>
      <c r="Y957" s="98"/>
      <c r="AA957" s="98"/>
      <c r="AR957" s="98"/>
      <c r="AS957" s="57"/>
      <c r="AU957" s="57"/>
      <c r="BF957" s="98"/>
      <c r="BG957" s="98"/>
      <c r="BH957" s="98"/>
      <c r="BI957" s="98"/>
      <c r="BJ957" s="98"/>
      <c r="BK957" s="98"/>
      <c r="BL957" s="98"/>
      <c r="BM957" s="57"/>
    </row>
    <row r="958" spans="1:65" ht="11.25" x14ac:dyDescent="0.2">
      <c r="A958" s="57"/>
      <c r="B958" s="57"/>
      <c r="C958" s="57"/>
      <c r="D958" s="57"/>
      <c r="E958" s="57"/>
      <c r="F958" s="57"/>
      <c r="G958" s="57"/>
      <c r="H958" s="57"/>
      <c r="I958" s="57"/>
      <c r="J958" s="57"/>
      <c r="L958" s="57"/>
      <c r="M958" s="57"/>
      <c r="N958" s="57"/>
      <c r="O958" s="57"/>
      <c r="P958" s="57"/>
      <c r="Q958" s="57"/>
      <c r="R958" s="57"/>
      <c r="S958" s="57"/>
      <c r="T958" s="57"/>
      <c r="U958" s="57"/>
      <c r="V958" s="57"/>
      <c r="W958" s="57"/>
      <c r="X958" s="57"/>
      <c r="Y958" s="98"/>
      <c r="AA958" s="98"/>
      <c r="AR958" s="98"/>
      <c r="AS958" s="57"/>
      <c r="AU958" s="57"/>
      <c r="BF958" s="98"/>
      <c r="BG958" s="98"/>
      <c r="BH958" s="98"/>
      <c r="BI958" s="98"/>
      <c r="BJ958" s="98"/>
      <c r="BK958" s="98"/>
      <c r="BL958" s="98"/>
      <c r="BM958" s="57"/>
    </row>
    <row r="959" spans="1:65" ht="11.25" x14ac:dyDescent="0.2">
      <c r="A959" s="57"/>
      <c r="B959" s="57"/>
      <c r="C959" s="57"/>
      <c r="D959" s="57"/>
      <c r="E959" s="57"/>
      <c r="F959" s="57"/>
      <c r="G959" s="57"/>
      <c r="H959" s="57"/>
      <c r="I959" s="57"/>
      <c r="J959" s="57"/>
      <c r="L959" s="57"/>
      <c r="M959" s="57"/>
      <c r="N959" s="57"/>
      <c r="O959" s="57"/>
      <c r="P959" s="57"/>
      <c r="Q959" s="57"/>
      <c r="R959" s="57"/>
      <c r="S959" s="57"/>
      <c r="T959" s="57"/>
      <c r="U959" s="57"/>
      <c r="V959" s="57"/>
      <c r="W959" s="57"/>
      <c r="X959" s="57"/>
      <c r="Y959" s="98"/>
      <c r="AA959" s="98"/>
      <c r="AR959" s="98"/>
      <c r="AS959" s="57"/>
      <c r="AU959" s="57"/>
      <c r="BF959" s="98"/>
      <c r="BG959" s="98"/>
      <c r="BH959" s="98"/>
      <c r="BI959" s="98"/>
      <c r="BJ959" s="98"/>
      <c r="BK959" s="98"/>
      <c r="BL959" s="98"/>
      <c r="BM959" s="57"/>
    </row>
    <row r="960" spans="1:65" ht="11.25" x14ac:dyDescent="0.2">
      <c r="A960" s="57"/>
      <c r="B960" s="57"/>
      <c r="C960" s="57"/>
      <c r="D960" s="57"/>
      <c r="E960" s="57"/>
      <c r="F960" s="57"/>
      <c r="G960" s="57"/>
      <c r="H960" s="57"/>
      <c r="I960" s="57"/>
      <c r="J960" s="57"/>
      <c r="L960" s="57"/>
      <c r="M960" s="57"/>
      <c r="N960" s="57"/>
      <c r="O960" s="57"/>
      <c r="P960" s="57"/>
      <c r="Q960" s="57"/>
      <c r="R960" s="57"/>
      <c r="S960" s="57"/>
      <c r="T960" s="57"/>
      <c r="U960" s="57"/>
      <c r="V960" s="57"/>
      <c r="W960" s="57"/>
      <c r="X960" s="57"/>
      <c r="Y960" s="98"/>
      <c r="AA960" s="98"/>
      <c r="AR960" s="98"/>
      <c r="AS960" s="57"/>
      <c r="AU960" s="57"/>
      <c r="BF960" s="98"/>
      <c r="BG960" s="98"/>
      <c r="BH960" s="98"/>
      <c r="BI960" s="98"/>
      <c r="BJ960" s="98"/>
      <c r="BK960" s="98"/>
      <c r="BL960" s="98"/>
      <c r="BM960" s="57"/>
    </row>
    <row r="961" spans="1:65" ht="11.25" x14ac:dyDescent="0.2">
      <c r="A961" s="57"/>
      <c r="B961" s="57"/>
      <c r="C961" s="57"/>
      <c r="D961" s="57"/>
      <c r="E961" s="57"/>
      <c r="F961" s="57"/>
      <c r="G961" s="57"/>
      <c r="H961" s="57"/>
      <c r="I961" s="57"/>
      <c r="J961" s="57"/>
      <c r="L961" s="57"/>
      <c r="M961" s="57"/>
      <c r="N961" s="57"/>
      <c r="O961" s="57"/>
      <c r="P961" s="57"/>
      <c r="Q961" s="57"/>
      <c r="R961" s="57"/>
      <c r="S961" s="57"/>
      <c r="T961" s="57"/>
      <c r="U961" s="57"/>
      <c r="V961" s="57"/>
      <c r="W961" s="57"/>
      <c r="X961" s="57"/>
      <c r="Y961" s="98"/>
      <c r="AA961" s="98"/>
      <c r="AR961" s="98"/>
      <c r="AS961" s="57"/>
      <c r="AU961" s="57"/>
      <c r="BF961" s="98"/>
      <c r="BG961" s="98"/>
      <c r="BH961" s="98"/>
      <c r="BI961" s="98"/>
      <c r="BJ961" s="98"/>
      <c r="BK961" s="98"/>
      <c r="BL961" s="98"/>
      <c r="BM961" s="57"/>
    </row>
    <row r="962" spans="1:65" ht="11.25" x14ac:dyDescent="0.2">
      <c r="A962" s="57"/>
      <c r="B962" s="57"/>
      <c r="C962" s="57"/>
      <c r="D962" s="57"/>
      <c r="E962" s="57"/>
      <c r="F962" s="57"/>
      <c r="G962" s="57"/>
      <c r="H962" s="57"/>
      <c r="I962" s="57"/>
      <c r="J962" s="57"/>
      <c r="L962" s="57"/>
      <c r="M962" s="57"/>
      <c r="N962" s="57"/>
      <c r="O962" s="57"/>
      <c r="P962" s="57"/>
      <c r="Q962" s="57"/>
      <c r="R962" s="57"/>
      <c r="S962" s="57"/>
      <c r="T962" s="57"/>
      <c r="U962" s="57"/>
      <c r="V962" s="57"/>
      <c r="W962" s="57"/>
      <c r="X962" s="57"/>
      <c r="Y962" s="98"/>
      <c r="AA962" s="98"/>
      <c r="AR962" s="98"/>
      <c r="AS962" s="57"/>
      <c r="AU962" s="57"/>
      <c r="BF962" s="98"/>
      <c r="BG962" s="98"/>
      <c r="BH962" s="98"/>
      <c r="BI962" s="98"/>
      <c r="BJ962" s="98"/>
      <c r="BK962" s="98"/>
      <c r="BL962" s="98"/>
      <c r="BM962" s="57"/>
    </row>
    <row r="963" spans="1:65" ht="11.25" x14ac:dyDescent="0.2">
      <c r="A963" s="57"/>
      <c r="B963" s="57"/>
      <c r="C963" s="57"/>
      <c r="D963" s="57"/>
      <c r="E963" s="57"/>
      <c r="F963" s="57"/>
      <c r="G963" s="57"/>
      <c r="H963" s="57"/>
      <c r="I963" s="57"/>
      <c r="J963" s="57"/>
      <c r="L963" s="57"/>
      <c r="M963" s="57"/>
      <c r="N963" s="57"/>
      <c r="O963" s="57"/>
      <c r="P963" s="57"/>
      <c r="Q963" s="57"/>
      <c r="R963" s="57"/>
      <c r="S963" s="57"/>
      <c r="T963" s="57"/>
      <c r="U963" s="57"/>
      <c r="V963" s="57"/>
      <c r="W963" s="57"/>
      <c r="X963" s="57"/>
      <c r="Y963" s="98"/>
      <c r="AA963" s="98"/>
      <c r="AR963" s="98"/>
      <c r="AS963" s="57"/>
      <c r="AU963" s="57"/>
      <c r="BF963" s="98"/>
      <c r="BG963" s="98"/>
      <c r="BH963" s="98"/>
      <c r="BI963" s="98"/>
      <c r="BJ963" s="98"/>
      <c r="BK963" s="98"/>
      <c r="BL963" s="98"/>
      <c r="BM963" s="57"/>
    </row>
    <row r="964" spans="1:65" ht="11.25" x14ac:dyDescent="0.2">
      <c r="A964" s="57"/>
      <c r="B964" s="57"/>
      <c r="C964" s="57"/>
      <c r="D964" s="57"/>
      <c r="E964" s="57"/>
      <c r="F964" s="57"/>
      <c r="G964" s="57"/>
      <c r="H964" s="57"/>
      <c r="I964" s="57"/>
      <c r="J964" s="57"/>
      <c r="L964" s="57"/>
      <c r="M964" s="57"/>
      <c r="N964" s="57"/>
      <c r="O964" s="57"/>
      <c r="P964" s="57"/>
      <c r="Q964" s="57"/>
      <c r="R964" s="57"/>
      <c r="S964" s="57"/>
      <c r="T964" s="57"/>
      <c r="U964" s="57"/>
      <c r="V964" s="57"/>
      <c r="W964" s="57"/>
      <c r="X964" s="57"/>
      <c r="Y964" s="98"/>
      <c r="AA964" s="98"/>
      <c r="AR964" s="98"/>
      <c r="AS964" s="57"/>
      <c r="AU964" s="57"/>
      <c r="BF964" s="98"/>
      <c r="BG964" s="98"/>
      <c r="BH964" s="98"/>
      <c r="BI964" s="98"/>
      <c r="BJ964" s="98"/>
      <c r="BK964" s="98"/>
      <c r="BL964" s="98"/>
      <c r="BM964" s="57"/>
    </row>
    <row r="965" spans="1:65" ht="11.25" x14ac:dyDescent="0.2">
      <c r="A965" s="57"/>
      <c r="B965" s="57"/>
      <c r="C965" s="57"/>
      <c r="D965" s="57"/>
      <c r="E965" s="57"/>
      <c r="F965" s="57"/>
      <c r="G965" s="57"/>
      <c r="H965" s="57"/>
      <c r="I965" s="57"/>
      <c r="J965" s="57"/>
      <c r="L965" s="57"/>
      <c r="M965" s="57"/>
      <c r="N965" s="57"/>
      <c r="O965" s="57"/>
      <c r="P965" s="57"/>
      <c r="Q965" s="57"/>
      <c r="R965" s="57"/>
      <c r="S965" s="57"/>
      <c r="T965" s="57"/>
      <c r="U965" s="57"/>
      <c r="V965" s="57"/>
      <c r="W965" s="57"/>
      <c r="X965" s="57"/>
      <c r="Y965" s="98"/>
      <c r="AA965" s="98"/>
      <c r="AR965" s="98"/>
      <c r="AS965" s="57"/>
      <c r="AU965" s="57"/>
      <c r="BF965" s="98"/>
      <c r="BG965" s="98"/>
      <c r="BH965" s="98"/>
      <c r="BI965" s="98"/>
      <c r="BJ965" s="98"/>
      <c r="BK965" s="98"/>
      <c r="BL965" s="98"/>
      <c r="BM965" s="57"/>
    </row>
    <row r="966" spans="1:65" ht="11.25" x14ac:dyDescent="0.2">
      <c r="A966" s="57"/>
      <c r="B966" s="57"/>
      <c r="C966" s="57"/>
      <c r="D966" s="57"/>
      <c r="E966" s="57"/>
      <c r="F966" s="57"/>
      <c r="G966" s="57"/>
      <c r="H966" s="57"/>
      <c r="I966" s="57"/>
      <c r="J966" s="57"/>
      <c r="L966" s="57"/>
      <c r="M966" s="57"/>
      <c r="N966" s="57"/>
      <c r="O966" s="57"/>
      <c r="P966" s="57"/>
      <c r="Q966" s="57"/>
      <c r="R966" s="57"/>
      <c r="S966" s="57"/>
      <c r="T966" s="57"/>
      <c r="U966" s="57"/>
      <c r="V966" s="57"/>
      <c r="W966" s="57"/>
      <c r="X966" s="57"/>
      <c r="Y966" s="98"/>
      <c r="AA966" s="98"/>
      <c r="AR966" s="98"/>
      <c r="AS966" s="57"/>
      <c r="AU966" s="57"/>
      <c r="BF966" s="98"/>
      <c r="BG966" s="98"/>
      <c r="BH966" s="98"/>
      <c r="BI966" s="98"/>
      <c r="BJ966" s="98"/>
      <c r="BK966" s="98"/>
      <c r="BL966" s="98"/>
      <c r="BM966" s="57"/>
    </row>
    <row r="967" spans="1:65" ht="11.25" x14ac:dyDescent="0.2">
      <c r="A967" s="57"/>
      <c r="B967" s="57"/>
      <c r="C967" s="57"/>
      <c r="D967" s="57"/>
      <c r="E967" s="57"/>
      <c r="F967" s="57"/>
      <c r="G967" s="57"/>
      <c r="H967" s="57"/>
      <c r="I967" s="57"/>
      <c r="J967" s="57"/>
      <c r="L967" s="57"/>
      <c r="M967" s="57"/>
      <c r="N967" s="57"/>
      <c r="O967" s="57"/>
      <c r="P967" s="57"/>
      <c r="Q967" s="57"/>
      <c r="R967" s="57"/>
      <c r="S967" s="57"/>
      <c r="T967" s="57"/>
      <c r="U967" s="57"/>
      <c r="V967" s="57"/>
      <c r="W967" s="57"/>
      <c r="X967" s="57"/>
      <c r="Y967" s="98"/>
      <c r="AA967" s="98"/>
      <c r="AR967" s="98"/>
      <c r="AS967" s="57"/>
      <c r="AU967" s="57"/>
      <c r="BF967" s="98"/>
      <c r="BG967" s="98"/>
      <c r="BH967" s="98"/>
      <c r="BI967" s="98"/>
      <c r="BJ967" s="98"/>
      <c r="BK967" s="98"/>
      <c r="BL967" s="98"/>
      <c r="BM967" s="57"/>
    </row>
    <row r="968" spans="1:65" ht="11.25" x14ac:dyDescent="0.2">
      <c r="A968" s="57"/>
      <c r="B968" s="57"/>
      <c r="C968" s="57"/>
      <c r="D968" s="57"/>
      <c r="E968" s="57"/>
      <c r="F968" s="57"/>
      <c r="G968" s="57"/>
      <c r="H968" s="57"/>
      <c r="I968" s="57"/>
      <c r="J968" s="57"/>
      <c r="L968" s="57"/>
      <c r="M968" s="57"/>
      <c r="N968" s="57"/>
      <c r="O968" s="57"/>
      <c r="P968" s="57"/>
      <c r="Q968" s="57"/>
      <c r="R968" s="57"/>
      <c r="S968" s="57"/>
      <c r="T968" s="57"/>
      <c r="U968" s="57"/>
      <c r="V968" s="57"/>
      <c r="W968" s="57"/>
      <c r="X968" s="57"/>
      <c r="Y968" s="98"/>
      <c r="AA968" s="98"/>
      <c r="AR968" s="98"/>
      <c r="AS968" s="57"/>
      <c r="AU968" s="57"/>
      <c r="BF968" s="98"/>
      <c r="BG968" s="98"/>
      <c r="BH968" s="98"/>
      <c r="BI968" s="98"/>
      <c r="BJ968" s="98"/>
      <c r="BK968" s="98"/>
      <c r="BL968" s="98"/>
      <c r="BM968" s="57"/>
    </row>
    <row r="969" spans="1:65" ht="11.25" x14ac:dyDescent="0.2">
      <c r="A969" s="57"/>
      <c r="B969" s="57"/>
      <c r="C969" s="57"/>
      <c r="D969" s="57"/>
      <c r="E969" s="57"/>
      <c r="F969" s="57"/>
      <c r="G969" s="57"/>
      <c r="H969" s="57"/>
      <c r="I969" s="57"/>
      <c r="J969" s="57"/>
      <c r="L969" s="57"/>
      <c r="M969" s="57"/>
      <c r="N969" s="57"/>
      <c r="O969" s="57"/>
      <c r="P969" s="57"/>
      <c r="Q969" s="57"/>
      <c r="R969" s="57"/>
      <c r="S969" s="57"/>
      <c r="T969" s="57"/>
      <c r="U969" s="57"/>
      <c r="V969" s="57"/>
      <c r="W969" s="57"/>
      <c r="X969" s="57"/>
      <c r="Y969" s="98"/>
      <c r="AA969" s="98"/>
      <c r="AR969" s="98"/>
      <c r="AS969" s="57"/>
      <c r="AU969" s="57"/>
      <c r="BF969" s="98"/>
      <c r="BG969" s="98"/>
      <c r="BH969" s="98"/>
      <c r="BI969" s="98"/>
      <c r="BJ969" s="98"/>
      <c r="BK969" s="98"/>
      <c r="BL969" s="98"/>
      <c r="BM969" s="57"/>
    </row>
    <row r="970" spans="1:65" ht="11.25" x14ac:dyDescent="0.2">
      <c r="A970" s="57"/>
      <c r="B970" s="57"/>
      <c r="C970" s="57"/>
      <c r="D970" s="57"/>
      <c r="E970" s="57"/>
      <c r="F970" s="57"/>
      <c r="G970" s="57"/>
      <c r="H970" s="57"/>
      <c r="I970" s="57"/>
      <c r="J970" s="57"/>
      <c r="L970" s="57"/>
      <c r="M970" s="57"/>
      <c r="N970" s="57"/>
      <c r="O970" s="57"/>
      <c r="P970" s="57"/>
      <c r="Q970" s="57"/>
      <c r="R970" s="57"/>
      <c r="S970" s="57"/>
      <c r="T970" s="57"/>
      <c r="U970" s="57"/>
      <c r="V970" s="57"/>
      <c r="W970" s="57"/>
      <c r="X970" s="57"/>
      <c r="Y970" s="98"/>
      <c r="AA970" s="98"/>
      <c r="AR970" s="98"/>
      <c r="AS970" s="57"/>
      <c r="AU970" s="57"/>
      <c r="BF970" s="98"/>
      <c r="BG970" s="98"/>
      <c r="BH970" s="98"/>
      <c r="BI970" s="98"/>
      <c r="BJ970" s="98"/>
      <c r="BK970" s="98"/>
      <c r="BL970" s="98"/>
      <c r="BM970" s="57"/>
    </row>
    <row r="971" spans="1:65" ht="11.25" x14ac:dyDescent="0.2">
      <c r="A971" s="57"/>
      <c r="B971" s="57"/>
      <c r="C971" s="57"/>
      <c r="D971" s="57"/>
      <c r="E971" s="57"/>
      <c r="F971" s="57"/>
      <c r="G971" s="57"/>
      <c r="H971" s="57"/>
      <c r="I971" s="57"/>
      <c r="J971" s="57"/>
      <c r="L971" s="57"/>
      <c r="M971" s="57"/>
      <c r="N971" s="57"/>
      <c r="O971" s="57"/>
      <c r="P971" s="57"/>
      <c r="Q971" s="57"/>
      <c r="R971" s="57"/>
      <c r="S971" s="57"/>
      <c r="T971" s="57"/>
      <c r="U971" s="57"/>
      <c r="V971" s="57"/>
      <c r="W971" s="57"/>
      <c r="X971" s="57"/>
      <c r="Y971" s="98"/>
      <c r="AA971" s="98"/>
      <c r="AR971" s="98"/>
      <c r="AS971" s="57"/>
      <c r="AU971" s="57"/>
      <c r="BF971" s="98"/>
      <c r="BG971" s="98"/>
      <c r="BH971" s="98"/>
      <c r="BI971" s="98"/>
      <c r="BJ971" s="98"/>
      <c r="BK971" s="98"/>
      <c r="BL971" s="98"/>
      <c r="BM971" s="57"/>
    </row>
    <row r="972" spans="1:65" ht="11.25" x14ac:dyDescent="0.2">
      <c r="A972" s="57"/>
      <c r="B972" s="57"/>
      <c r="C972" s="57"/>
      <c r="D972" s="57"/>
      <c r="E972" s="57"/>
      <c r="F972" s="57"/>
      <c r="G972" s="57"/>
      <c r="H972" s="57"/>
      <c r="I972" s="57"/>
      <c r="J972" s="57"/>
      <c r="L972" s="57"/>
      <c r="M972" s="57"/>
      <c r="N972" s="57"/>
      <c r="O972" s="57"/>
      <c r="P972" s="57"/>
      <c r="Q972" s="57"/>
      <c r="R972" s="57"/>
      <c r="S972" s="57"/>
      <c r="T972" s="57"/>
      <c r="U972" s="57"/>
      <c r="V972" s="57"/>
      <c r="W972" s="57"/>
      <c r="X972" s="57"/>
      <c r="Y972" s="98"/>
      <c r="AA972" s="98"/>
      <c r="AR972" s="98"/>
      <c r="AS972" s="57"/>
      <c r="AU972" s="57"/>
      <c r="BF972" s="98"/>
      <c r="BG972" s="98"/>
      <c r="BH972" s="98"/>
      <c r="BI972" s="98"/>
      <c r="BJ972" s="98"/>
      <c r="BK972" s="98"/>
      <c r="BL972" s="98"/>
      <c r="BM972" s="57"/>
    </row>
    <row r="973" spans="1:65" ht="11.25" x14ac:dyDescent="0.2">
      <c r="A973" s="57"/>
      <c r="B973" s="57"/>
      <c r="C973" s="57"/>
      <c r="D973" s="57"/>
      <c r="E973" s="57"/>
      <c r="F973" s="57"/>
      <c r="G973" s="57"/>
      <c r="H973" s="57"/>
      <c r="I973" s="57"/>
      <c r="J973" s="57"/>
      <c r="L973" s="57"/>
      <c r="M973" s="57"/>
      <c r="N973" s="57"/>
      <c r="O973" s="57"/>
      <c r="P973" s="57"/>
      <c r="Q973" s="57"/>
      <c r="R973" s="57"/>
      <c r="S973" s="57"/>
      <c r="T973" s="57"/>
      <c r="U973" s="57"/>
      <c r="V973" s="57"/>
      <c r="W973" s="57"/>
      <c r="X973" s="57"/>
      <c r="Y973" s="98"/>
      <c r="AA973" s="98"/>
      <c r="AR973" s="98"/>
      <c r="AS973" s="57"/>
      <c r="AU973" s="57"/>
      <c r="BF973" s="98"/>
      <c r="BG973" s="98"/>
      <c r="BH973" s="98"/>
      <c r="BI973" s="98"/>
      <c r="BJ973" s="98"/>
      <c r="BK973" s="98"/>
      <c r="BL973" s="98"/>
      <c r="BM973" s="57"/>
    </row>
    <row r="974" spans="1:65" ht="11.25" x14ac:dyDescent="0.2">
      <c r="A974" s="57"/>
      <c r="B974" s="57"/>
      <c r="C974" s="57"/>
      <c r="D974" s="57"/>
      <c r="E974" s="57"/>
      <c r="F974" s="57"/>
      <c r="G974" s="57"/>
      <c r="H974" s="57"/>
      <c r="I974" s="57"/>
      <c r="J974" s="57"/>
      <c r="L974" s="57"/>
      <c r="M974" s="57"/>
      <c r="N974" s="57"/>
      <c r="O974" s="57"/>
      <c r="P974" s="57"/>
      <c r="Q974" s="57"/>
      <c r="R974" s="57"/>
      <c r="S974" s="57"/>
      <c r="T974" s="57"/>
      <c r="U974" s="57"/>
      <c r="V974" s="57"/>
      <c r="W974" s="57"/>
      <c r="X974" s="57"/>
      <c r="Y974" s="98"/>
      <c r="AA974" s="98"/>
      <c r="AR974" s="98"/>
      <c r="AS974" s="57"/>
      <c r="AU974" s="57"/>
      <c r="BF974" s="98"/>
      <c r="BG974" s="98"/>
      <c r="BH974" s="98"/>
      <c r="BI974" s="98"/>
      <c r="BJ974" s="98"/>
      <c r="BK974" s="98"/>
      <c r="BL974" s="98"/>
      <c r="BM974" s="57"/>
    </row>
    <row r="975" spans="1:65" ht="11.25" x14ac:dyDescent="0.2">
      <c r="A975" s="57"/>
      <c r="B975" s="57"/>
      <c r="C975" s="57"/>
      <c r="D975" s="57"/>
      <c r="E975" s="57"/>
      <c r="F975" s="57"/>
      <c r="G975" s="57"/>
      <c r="H975" s="57"/>
      <c r="I975" s="57"/>
      <c r="J975" s="57"/>
      <c r="L975" s="57"/>
      <c r="M975" s="57"/>
      <c r="N975" s="57"/>
      <c r="O975" s="57"/>
      <c r="P975" s="57"/>
      <c r="Q975" s="57"/>
      <c r="R975" s="57"/>
      <c r="S975" s="57"/>
      <c r="T975" s="57"/>
      <c r="U975" s="57"/>
      <c r="V975" s="57"/>
      <c r="W975" s="57"/>
      <c r="X975" s="57"/>
      <c r="Y975" s="98"/>
      <c r="AA975" s="98"/>
      <c r="AR975" s="98"/>
      <c r="AS975" s="57"/>
      <c r="AU975" s="57"/>
      <c r="BF975" s="98"/>
      <c r="BG975" s="98"/>
      <c r="BH975" s="98"/>
      <c r="BI975" s="98"/>
      <c r="BJ975" s="98"/>
      <c r="BK975" s="98"/>
      <c r="BL975" s="98"/>
      <c r="BM975" s="57"/>
    </row>
    <row r="976" spans="1:65" ht="11.25" x14ac:dyDescent="0.2">
      <c r="A976" s="57"/>
      <c r="B976" s="57"/>
      <c r="C976" s="57"/>
      <c r="D976" s="57"/>
      <c r="E976" s="57"/>
      <c r="F976" s="57"/>
      <c r="G976" s="57"/>
      <c r="H976" s="57"/>
      <c r="I976" s="57"/>
      <c r="J976" s="57"/>
      <c r="L976" s="57"/>
      <c r="M976" s="57"/>
      <c r="N976" s="57"/>
      <c r="O976" s="57"/>
      <c r="P976" s="57"/>
      <c r="Q976" s="57"/>
      <c r="R976" s="57"/>
      <c r="S976" s="57"/>
      <c r="T976" s="57"/>
      <c r="U976" s="57"/>
      <c r="V976" s="57"/>
      <c r="W976" s="57"/>
      <c r="X976" s="57"/>
      <c r="Y976" s="98"/>
      <c r="AA976" s="98"/>
      <c r="AR976" s="98"/>
      <c r="AS976" s="57"/>
      <c r="AU976" s="57"/>
      <c r="BF976" s="98"/>
      <c r="BG976" s="98"/>
      <c r="BH976" s="98"/>
      <c r="BI976" s="98"/>
      <c r="BJ976" s="98"/>
      <c r="BK976" s="98"/>
      <c r="BL976" s="98"/>
      <c r="BM976" s="57"/>
    </row>
    <row r="977" spans="1:65" ht="11.25" x14ac:dyDescent="0.2">
      <c r="A977" s="57"/>
      <c r="B977" s="57"/>
      <c r="C977" s="57"/>
      <c r="D977" s="57"/>
      <c r="E977" s="57"/>
      <c r="F977" s="57"/>
      <c r="G977" s="57"/>
      <c r="H977" s="57"/>
      <c r="I977" s="57"/>
      <c r="J977" s="57"/>
      <c r="L977" s="57"/>
      <c r="M977" s="57"/>
      <c r="N977" s="57"/>
      <c r="O977" s="57"/>
      <c r="P977" s="57"/>
      <c r="Q977" s="57"/>
      <c r="R977" s="57"/>
      <c r="S977" s="57"/>
      <c r="T977" s="57"/>
      <c r="U977" s="57"/>
      <c r="V977" s="57"/>
      <c r="W977" s="57"/>
      <c r="X977" s="57"/>
      <c r="Y977" s="98"/>
      <c r="AA977" s="98"/>
      <c r="AR977" s="98"/>
      <c r="AS977" s="57"/>
      <c r="AU977" s="57"/>
      <c r="BF977" s="98"/>
      <c r="BG977" s="98"/>
      <c r="BH977" s="98"/>
      <c r="BI977" s="98"/>
      <c r="BJ977" s="98"/>
      <c r="BK977" s="98"/>
      <c r="BL977" s="98"/>
      <c r="BM977" s="57"/>
    </row>
    <row r="978" spans="1:65" ht="11.25" x14ac:dyDescent="0.2">
      <c r="A978" s="57"/>
      <c r="B978" s="57"/>
      <c r="C978" s="57"/>
      <c r="D978" s="57"/>
      <c r="E978" s="57"/>
      <c r="F978" s="57"/>
      <c r="G978" s="57"/>
      <c r="H978" s="57"/>
      <c r="I978" s="57"/>
      <c r="J978" s="57"/>
      <c r="L978" s="57"/>
      <c r="M978" s="57"/>
      <c r="N978" s="57"/>
      <c r="O978" s="57"/>
      <c r="P978" s="57"/>
      <c r="Q978" s="57"/>
      <c r="R978" s="57"/>
      <c r="S978" s="57"/>
      <c r="T978" s="57"/>
      <c r="U978" s="57"/>
      <c r="V978" s="57"/>
      <c r="W978" s="57"/>
      <c r="X978" s="57"/>
      <c r="Y978" s="98"/>
      <c r="AA978" s="98"/>
      <c r="AR978" s="98"/>
      <c r="AS978" s="57"/>
      <c r="AU978" s="57"/>
      <c r="BF978" s="98"/>
      <c r="BG978" s="98"/>
      <c r="BH978" s="98"/>
      <c r="BI978" s="98"/>
      <c r="BJ978" s="98"/>
      <c r="BK978" s="98"/>
      <c r="BL978" s="98"/>
      <c r="BM978" s="57"/>
    </row>
    <row r="979" spans="1:65" ht="11.25" x14ac:dyDescent="0.2">
      <c r="A979" s="57"/>
      <c r="B979" s="57"/>
      <c r="C979" s="57"/>
      <c r="D979" s="57"/>
      <c r="E979" s="57"/>
      <c r="F979" s="57"/>
      <c r="G979" s="57"/>
      <c r="H979" s="57"/>
      <c r="I979" s="57"/>
      <c r="J979" s="57"/>
      <c r="L979" s="57"/>
      <c r="M979" s="57"/>
      <c r="N979" s="57"/>
      <c r="O979" s="57"/>
      <c r="P979" s="57"/>
      <c r="Q979" s="57"/>
      <c r="R979" s="57"/>
      <c r="S979" s="57"/>
      <c r="T979" s="57"/>
      <c r="U979" s="57"/>
      <c r="V979" s="57"/>
      <c r="W979" s="57"/>
      <c r="X979" s="57"/>
      <c r="Y979" s="98"/>
      <c r="AA979" s="98"/>
      <c r="AR979" s="98"/>
      <c r="AS979" s="57"/>
      <c r="AU979" s="57"/>
      <c r="BF979" s="98"/>
      <c r="BG979" s="98"/>
      <c r="BH979" s="98"/>
      <c r="BI979" s="98"/>
      <c r="BJ979" s="98"/>
      <c r="BK979" s="98"/>
      <c r="BL979" s="98"/>
      <c r="BM979" s="57"/>
    </row>
    <row r="980" spans="1:65" ht="11.25" x14ac:dyDescent="0.2">
      <c r="A980" s="57"/>
      <c r="B980" s="57"/>
      <c r="C980" s="57"/>
      <c r="D980" s="57"/>
      <c r="E980" s="57"/>
      <c r="F980" s="57"/>
      <c r="G980" s="57"/>
      <c r="H980" s="57"/>
      <c r="I980" s="57"/>
      <c r="J980" s="57"/>
      <c r="L980" s="57"/>
      <c r="M980" s="57"/>
      <c r="N980" s="57"/>
      <c r="O980" s="57"/>
      <c r="P980" s="57"/>
      <c r="Q980" s="57"/>
      <c r="R980" s="57"/>
      <c r="S980" s="57"/>
      <c r="T980" s="57"/>
      <c r="U980" s="57"/>
      <c r="V980" s="57"/>
      <c r="W980" s="57"/>
      <c r="X980" s="57"/>
      <c r="Y980" s="98"/>
      <c r="AA980" s="98"/>
      <c r="AR980" s="98"/>
      <c r="AS980" s="57"/>
      <c r="AU980" s="57"/>
      <c r="BF980" s="98"/>
      <c r="BG980" s="98"/>
      <c r="BH980" s="98"/>
      <c r="BI980" s="98"/>
      <c r="BJ980" s="98"/>
      <c r="BK980" s="98"/>
      <c r="BL980" s="98"/>
      <c r="BM980" s="57"/>
    </row>
    <row r="981" spans="1:65" ht="11.25" x14ac:dyDescent="0.2">
      <c r="A981" s="57"/>
      <c r="B981" s="57"/>
      <c r="C981" s="57"/>
      <c r="D981" s="57"/>
      <c r="E981" s="57"/>
      <c r="F981" s="57"/>
      <c r="G981" s="57"/>
      <c r="H981" s="57"/>
      <c r="I981" s="57"/>
      <c r="J981" s="57"/>
      <c r="L981" s="57"/>
      <c r="M981" s="57"/>
      <c r="N981" s="57"/>
      <c r="O981" s="57"/>
      <c r="P981" s="57"/>
      <c r="Q981" s="57"/>
      <c r="R981" s="57"/>
      <c r="S981" s="57"/>
      <c r="T981" s="57"/>
      <c r="U981" s="57"/>
      <c r="V981" s="57"/>
      <c r="W981" s="57"/>
      <c r="X981" s="57"/>
      <c r="Y981" s="98"/>
      <c r="AA981" s="98"/>
      <c r="AR981" s="98"/>
      <c r="AS981" s="57"/>
      <c r="AU981" s="57"/>
      <c r="BF981" s="98"/>
      <c r="BG981" s="98"/>
      <c r="BH981" s="98"/>
      <c r="BI981" s="98"/>
      <c r="BJ981" s="98"/>
      <c r="BK981" s="98"/>
      <c r="BL981" s="98"/>
      <c r="BM981" s="57"/>
    </row>
    <row r="982" spans="1:65" ht="11.25" x14ac:dyDescent="0.2">
      <c r="A982" s="57"/>
      <c r="B982" s="57"/>
      <c r="C982" s="57"/>
      <c r="D982" s="57"/>
      <c r="E982" s="57"/>
      <c r="F982" s="57"/>
      <c r="G982" s="57"/>
      <c r="H982" s="57"/>
      <c r="I982" s="57"/>
      <c r="J982" s="57"/>
      <c r="L982" s="57"/>
      <c r="M982" s="57"/>
      <c r="N982" s="57"/>
      <c r="O982" s="57"/>
      <c r="P982" s="57"/>
      <c r="Q982" s="57"/>
      <c r="R982" s="57"/>
      <c r="S982" s="57"/>
      <c r="T982" s="57"/>
      <c r="U982" s="57"/>
      <c r="V982" s="57"/>
      <c r="W982" s="57"/>
      <c r="X982" s="57"/>
      <c r="Y982" s="98"/>
      <c r="AA982" s="98"/>
      <c r="AR982" s="98"/>
      <c r="AS982" s="57"/>
      <c r="AU982" s="57"/>
      <c r="BF982" s="98"/>
      <c r="BG982" s="98"/>
      <c r="BH982" s="98"/>
      <c r="BI982" s="98"/>
      <c r="BJ982" s="98"/>
      <c r="BK982" s="98"/>
      <c r="BL982" s="98"/>
      <c r="BM982" s="57"/>
    </row>
    <row r="983" spans="1:65" ht="11.25" x14ac:dyDescent="0.2">
      <c r="A983" s="57"/>
      <c r="B983" s="57"/>
      <c r="C983" s="57"/>
      <c r="D983" s="57"/>
      <c r="E983" s="57"/>
      <c r="F983" s="57"/>
      <c r="G983" s="57"/>
      <c r="H983" s="57"/>
      <c r="I983" s="57"/>
      <c r="J983" s="57"/>
      <c r="L983" s="57"/>
      <c r="M983" s="57"/>
      <c r="N983" s="57"/>
      <c r="O983" s="57"/>
      <c r="P983" s="57"/>
      <c r="Q983" s="57"/>
      <c r="R983" s="57"/>
      <c r="S983" s="57"/>
      <c r="T983" s="57"/>
      <c r="U983" s="57"/>
      <c r="V983" s="57"/>
      <c r="W983" s="57"/>
      <c r="X983" s="57"/>
      <c r="Y983" s="98"/>
      <c r="AA983" s="98"/>
      <c r="AR983" s="98"/>
      <c r="AS983" s="57"/>
      <c r="AU983" s="57"/>
      <c r="BF983" s="98"/>
      <c r="BG983" s="98"/>
      <c r="BH983" s="98"/>
      <c r="BI983" s="98"/>
      <c r="BJ983" s="98"/>
      <c r="BK983" s="98"/>
      <c r="BL983" s="98"/>
      <c r="BM983" s="57"/>
    </row>
    <row r="984" spans="1:65" ht="11.25" x14ac:dyDescent="0.2">
      <c r="A984" s="57"/>
      <c r="B984" s="57"/>
      <c r="C984" s="57"/>
      <c r="D984" s="57"/>
      <c r="E984" s="57"/>
      <c r="F984" s="57"/>
      <c r="G984" s="57"/>
      <c r="H984" s="57"/>
      <c r="I984" s="57"/>
      <c r="J984" s="57"/>
      <c r="L984" s="57"/>
      <c r="M984" s="57"/>
      <c r="N984" s="57"/>
      <c r="O984" s="57"/>
      <c r="P984" s="57"/>
      <c r="Q984" s="57"/>
      <c r="R984" s="57"/>
      <c r="S984" s="57"/>
      <c r="T984" s="57"/>
      <c r="U984" s="57"/>
      <c r="V984" s="57"/>
      <c r="W984" s="57"/>
      <c r="X984" s="57"/>
      <c r="Y984" s="98"/>
      <c r="AA984" s="98"/>
      <c r="AR984" s="98"/>
      <c r="AS984" s="57"/>
      <c r="AU984" s="57"/>
      <c r="BF984" s="98"/>
      <c r="BG984" s="98"/>
      <c r="BH984" s="98"/>
      <c r="BI984" s="98"/>
      <c r="BJ984" s="98"/>
      <c r="BK984" s="98"/>
      <c r="BL984" s="98"/>
      <c r="BM984" s="57"/>
    </row>
    <row r="985" spans="1:65" ht="11.25" x14ac:dyDescent="0.2">
      <c r="A985" s="57"/>
      <c r="B985" s="57"/>
      <c r="C985" s="57"/>
      <c r="D985" s="57"/>
      <c r="E985" s="57"/>
      <c r="F985" s="57"/>
      <c r="G985" s="57"/>
      <c r="H985" s="57"/>
      <c r="I985" s="57"/>
      <c r="J985" s="57"/>
      <c r="L985" s="57"/>
      <c r="M985" s="57"/>
      <c r="N985" s="57"/>
      <c r="O985" s="57"/>
      <c r="P985" s="57"/>
      <c r="Q985" s="57"/>
      <c r="R985" s="57"/>
      <c r="S985" s="57"/>
      <c r="T985" s="57"/>
      <c r="U985" s="57"/>
      <c r="V985" s="57"/>
      <c r="W985" s="57"/>
      <c r="X985" s="57"/>
      <c r="Y985" s="98"/>
      <c r="AA985" s="98"/>
      <c r="AR985" s="98"/>
      <c r="AS985" s="57"/>
      <c r="AU985" s="57"/>
      <c r="BF985" s="98"/>
      <c r="BG985" s="98"/>
      <c r="BH985" s="98"/>
      <c r="BI985" s="98"/>
      <c r="BJ985" s="98"/>
      <c r="BK985" s="98"/>
      <c r="BL985" s="98"/>
      <c r="BM985" s="57"/>
    </row>
    <row r="986" spans="1:65" ht="11.25" x14ac:dyDescent="0.2">
      <c r="A986" s="57"/>
      <c r="B986" s="57"/>
      <c r="C986" s="57"/>
      <c r="D986" s="57"/>
      <c r="E986" s="57"/>
      <c r="F986" s="57"/>
      <c r="G986" s="57"/>
      <c r="H986" s="57"/>
      <c r="I986" s="57"/>
      <c r="J986" s="57"/>
      <c r="L986" s="57"/>
      <c r="M986" s="57"/>
      <c r="N986" s="57"/>
      <c r="O986" s="57"/>
      <c r="P986" s="57"/>
      <c r="Q986" s="57"/>
      <c r="R986" s="57"/>
      <c r="S986" s="57"/>
      <c r="T986" s="57"/>
      <c r="U986" s="57"/>
      <c r="V986" s="57"/>
      <c r="W986" s="57"/>
      <c r="X986" s="57"/>
      <c r="Y986" s="98"/>
      <c r="AA986" s="98"/>
      <c r="AR986" s="98"/>
      <c r="AS986" s="57"/>
      <c r="AU986" s="57"/>
      <c r="BF986" s="98"/>
      <c r="BG986" s="98"/>
      <c r="BH986" s="98"/>
      <c r="BI986" s="98"/>
      <c r="BJ986" s="98"/>
      <c r="BK986" s="98"/>
      <c r="BL986" s="98"/>
      <c r="BM986" s="57"/>
    </row>
    <row r="987" spans="1:65" ht="11.25" x14ac:dyDescent="0.2">
      <c r="A987" s="57"/>
      <c r="B987" s="57"/>
      <c r="C987" s="57"/>
      <c r="D987" s="57"/>
      <c r="E987" s="57"/>
      <c r="F987" s="57"/>
      <c r="G987" s="57"/>
      <c r="H987" s="57"/>
      <c r="I987" s="57"/>
      <c r="J987" s="57"/>
      <c r="L987" s="57"/>
      <c r="M987" s="57"/>
      <c r="N987" s="57"/>
      <c r="O987" s="57"/>
      <c r="P987" s="57"/>
      <c r="Q987" s="57"/>
      <c r="R987" s="57"/>
      <c r="S987" s="57"/>
      <c r="T987" s="57"/>
      <c r="U987" s="57"/>
      <c r="V987" s="57"/>
      <c r="W987" s="57"/>
      <c r="X987" s="57"/>
      <c r="Y987" s="98"/>
      <c r="AA987" s="98"/>
      <c r="AR987" s="98"/>
      <c r="AS987" s="57"/>
      <c r="AU987" s="57"/>
      <c r="BF987" s="98"/>
      <c r="BG987" s="98"/>
      <c r="BH987" s="98"/>
      <c r="BI987" s="98"/>
      <c r="BJ987" s="98"/>
      <c r="BK987" s="98"/>
      <c r="BL987" s="98"/>
      <c r="BM987" s="57"/>
    </row>
    <row r="988" spans="1:65" ht="11.25" x14ac:dyDescent="0.2">
      <c r="A988" s="57"/>
      <c r="B988" s="57"/>
      <c r="C988" s="57"/>
      <c r="D988" s="57"/>
      <c r="E988" s="57"/>
      <c r="F988" s="57"/>
      <c r="G988" s="57"/>
      <c r="H988" s="57"/>
      <c r="I988" s="57"/>
      <c r="J988" s="57"/>
      <c r="L988" s="57"/>
      <c r="M988" s="57"/>
      <c r="N988" s="57"/>
      <c r="O988" s="57"/>
      <c r="P988" s="57"/>
      <c r="Q988" s="57"/>
      <c r="R988" s="57"/>
      <c r="S988" s="57"/>
      <c r="T988" s="57"/>
      <c r="U988" s="57"/>
      <c r="V988" s="57"/>
      <c r="W988" s="57"/>
      <c r="X988" s="57"/>
      <c r="Y988" s="98"/>
      <c r="AA988" s="98"/>
      <c r="AR988" s="98"/>
      <c r="AS988" s="57"/>
      <c r="AU988" s="57"/>
      <c r="BF988" s="98"/>
      <c r="BG988" s="98"/>
      <c r="BH988" s="98"/>
      <c r="BI988" s="98"/>
      <c r="BJ988" s="98"/>
      <c r="BK988" s="98"/>
      <c r="BL988" s="98"/>
      <c r="BM988" s="57"/>
    </row>
    <row r="989" spans="1:65" ht="11.25" x14ac:dyDescent="0.2">
      <c r="A989" s="57"/>
      <c r="B989" s="57"/>
      <c r="C989" s="57"/>
      <c r="D989" s="57"/>
      <c r="E989" s="57"/>
      <c r="F989" s="57"/>
      <c r="G989" s="57"/>
      <c r="H989" s="57"/>
      <c r="I989" s="57"/>
      <c r="J989" s="57"/>
      <c r="L989" s="57"/>
      <c r="M989" s="57"/>
      <c r="N989" s="57"/>
      <c r="O989" s="57"/>
      <c r="P989" s="57"/>
      <c r="Q989" s="57"/>
      <c r="R989" s="57"/>
      <c r="S989" s="57"/>
      <c r="T989" s="57"/>
      <c r="U989" s="57"/>
      <c r="V989" s="57"/>
      <c r="W989" s="57"/>
      <c r="X989" s="57"/>
      <c r="Y989" s="98"/>
      <c r="AA989" s="98"/>
      <c r="AR989" s="98"/>
      <c r="AS989" s="57"/>
      <c r="AU989" s="57"/>
      <c r="BF989" s="98"/>
      <c r="BG989" s="98"/>
      <c r="BH989" s="98"/>
      <c r="BI989" s="98"/>
      <c r="BJ989" s="98"/>
      <c r="BK989" s="98"/>
      <c r="BL989" s="98"/>
      <c r="BM989" s="57"/>
    </row>
    <row r="990" spans="1:65" ht="11.25" x14ac:dyDescent="0.2">
      <c r="A990" s="57"/>
      <c r="B990" s="57"/>
      <c r="C990" s="57"/>
      <c r="D990" s="57"/>
      <c r="E990" s="57"/>
      <c r="F990" s="57"/>
      <c r="G990" s="57"/>
      <c r="H990" s="57"/>
      <c r="I990" s="57"/>
      <c r="J990" s="57"/>
      <c r="L990" s="57"/>
      <c r="M990" s="57"/>
      <c r="N990" s="57"/>
      <c r="O990" s="57"/>
      <c r="P990" s="57"/>
      <c r="Q990" s="57"/>
      <c r="R990" s="57"/>
      <c r="S990" s="57"/>
      <c r="T990" s="57"/>
      <c r="U990" s="57"/>
      <c r="V990" s="57"/>
      <c r="W990" s="57"/>
      <c r="X990" s="57"/>
      <c r="Y990" s="98"/>
      <c r="AA990" s="98"/>
      <c r="AR990" s="98"/>
      <c r="AS990" s="57"/>
      <c r="AU990" s="57"/>
      <c r="BF990" s="98"/>
      <c r="BG990" s="98"/>
      <c r="BH990" s="98"/>
      <c r="BI990" s="98"/>
      <c r="BJ990" s="98"/>
      <c r="BK990" s="98"/>
      <c r="BL990" s="98"/>
      <c r="BM990" s="57"/>
    </row>
    <row r="991" spans="1:65" ht="11.25" x14ac:dyDescent="0.2">
      <c r="A991" s="57"/>
      <c r="B991" s="57"/>
      <c r="C991" s="57"/>
      <c r="D991" s="57"/>
      <c r="E991" s="57"/>
      <c r="F991" s="57"/>
      <c r="G991" s="57"/>
      <c r="H991" s="57"/>
      <c r="I991" s="57"/>
      <c r="J991" s="57"/>
      <c r="L991" s="57"/>
      <c r="M991" s="57"/>
      <c r="N991" s="57"/>
      <c r="O991" s="57"/>
      <c r="P991" s="57"/>
      <c r="Q991" s="57"/>
      <c r="R991" s="57"/>
      <c r="S991" s="57"/>
      <c r="T991" s="57"/>
      <c r="U991" s="57"/>
      <c r="V991" s="57"/>
      <c r="W991" s="57"/>
      <c r="X991" s="57"/>
      <c r="Y991" s="98"/>
      <c r="AA991" s="98"/>
      <c r="AR991" s="98"/>
      <c r="AS991" s="57"/>
      <c r="AU991" s="57"/>
      <c r="BF991" s="98"/>
      <c r="BG991" s="98"/>
      <c r="BH991" s="98"/>
      <c r="BI991" s="98"/>
      <c r="BJ991" s="98"/>
      <c r="BK991" s="98"/>
      <c r="BL991" s="98"/>
      <c r="BM991" s="57"/>
    </row>
    <row r="992" spans="1:65" ht="11.25" x14ac:dyDescent="0.2">
      <c r="A992" s="57"/>
      <c r="B992" s="57"/>
      <c r="C992" s="57"/>
      <c r="D992" s="57"/>
      <c r="E992" s="57"/>
      <c r="F992" s="57"/>
      <c r="G992" s="57"/>
      <c r="H992" s="57"/>
      <c r="I992" s="57"/>
      <c r="J992" s="57"/>
      <c r="L992" s="57"/>
      <c r="M992" s="57"/>
      <c r="N992" s="57"/>
      <c r="O992" s="57"/>
      <c r="P992" s="57"/>
      <c r="Q992" s="57"/>
      <c r="R992" s="57"/>
      <c r="S992" s="57"/>
      <c r="T992" s="57"/>
      <c r="U992" s="57"/>
      <c r="V992" s="57"/>
      <c r="W992" s="57"/>
      <c r="X992" s="57"/>
      <c r="Y992" s="98"/>
      <c r="AA992" s="98"/>
      <c r="AR992" s="98"/>
      <c r="AS992" s="57"/>
      <c r="AU992" s="57"/>
      <c r="BF992" s="98"/>
      <c r="BG992" s="98"/>
      <c r="BH992" s="98"/>
      <c r="BI992" s="98"/>
      <c r="BJ992" s="98"/>
      <c r="BK992" s="98"/>
      <c r="BL992" s="98"/>
      <c r="BM992" s="57"/>
    </row>
    <row r="993" spans="1:65" ht="11.25" x14ac:dyDescent="0.2">
      <c r="A993" s="57"/>
      <c r="B993" s="57"/>
      <c r="C993" s="57"/>
      <c r="D993" s="57"/>
      <c r="E993" s="57"/>
      <c r="F993" s="57"/>
      <c r="G993" s="57"/>
      <c r="H993" s="57"/>
      <c r="I993" s="57"/>
      <c r="J993" s="57"/>
      <c r="L993" s="57"/>
      <c r="M993" s="57"/>
      <c r="N993" s="57"/>
      <c r="O993" s="57"/>
      <c r="P993" s="57"/>
      <c r="Q993" s="57"/>
      <c r="R993" s="57"/>
      <c r="S993" s="57"/>
      <c r="T993" s="57"/>
      <c r="U993" s="57"/>
      <c r="V993" s="57"/>
      <c r="W993" s="57"/>
      <c r="X993" s="57"/>
      <c r="Y993" s="98"/>
      <c r="AA993" s="98"/>
      <c r="AR993" s="98"/>
      <c r="AS993" s="57"/>
      <c r="AU993" s="57"/>
      <c r="BF993" s="98"/>
      <c r="BG993" s="98"/>
      <c r="BH993" s="98"/>
      <c r="BI993" s="98"/>
      <c r="BJ993" s="98"/>
      <c r="BK993" s="98"/>
      <c r="BL993" s="98"/>
      <c r="BM993" s="57"/>
    </row>
    <row r="994" spans="1:65" ht="11.25" x14ac:dyDescent="0.2">
      <c r="A994" s="57"/>
      <c r="B994" s="57"/>
      <c r="C994" s="57"/>
      <c r="D994" s="57"/>
      <c r="E994" s="57"/>
      <c r="F994" s="57"/>
      <c r="G994" s="57"/>
      <c r="H994" s="57"/>
      <c r="I994" s="57"/>
      <c r="J994" s="57"/>
      <c r="L994" s="57"/>
      <c r="M994" s="57"/>
      <c r="N994" s="57"/>
      <c r="O994" s="57"/>
      <c r="P994" s="57"/>
      <c r="Q994" s="57"/>
      <c r="R994" s="57"/>
      <c r="S994" s="57"/>
      <c r="T994" s="57"/>
      <c r="U994" s="57"/>
      <c r="V994" s="57"/>
      <c r="W994" s="57"/>
      <c r="X994" s="57"/>
      <c r="Y994" s="98"/>
      <c r="AA994" s="98"/>
      <c r="AR994" s="98"/>
      <c r="AS994" s="57"/>
      <c r="AU994" s="57"/>
      <c r="BF994" s="98"/>
      <c r="BG994" s="98"/>
      <c r="BH994" s="98"/>
      <c r="BI994" s="98"/>
      <c r="BJ994" s="98"/>
      <c r="BK994" s="98"/>
      <c r="BL994" s="98"/>
      <c r="BM994" s="57"/>
    </row>
    <row r="995" spans="1:65" ht="11.25" x14ac:dyDescent="0.2">
      <c r="A995" s="57"/>
      <c r="B995" s="57"/>
      <c r="C995" s="57"/>
      <c r="D995" s="57"/>
      <c r="E995" s="57"/>
      <c r="F995" s="57"/>
      <c r="G995" s="57"/>
      <c r="H995" s="57"/>
      <c r="I995" s="57"/>
      <c r="J995" s="57"/>
      <c r="L995" s="57"/>
      <c r="M995" s="57"/>
      <c r="N995" s="57"/>
      <c r="O995" s="57"/>
      <c r="P995" s="57"/>
      <c r="Q995" s="57"/>
      <c r="R995" s="57"/>
      <c r="S995" s="57"/>
      <c r="T995" s="57"/>
      <c r="U995" s="57"/>
      <c r="V995" s="57"/>
      <c r="W995" s="57"/>
      <c r="X995" s="57"/>
      <c r="Y995" s="98"/>
      <c r="AA995" s="98"/>
      <c r="AR995" s="98"/>
      <c r="AS995" s="57"/>
      <c r="AU995" s="57"/>
      <c r="BF995" s="98"/>
      <c r="BG995" s="98"/>
      <c r="BH995" s="98"/>
      <c r="BI995" s="98"/>
      <c r="BJ995" s="98"/>
      <c r="BK995" s="98"/>
      <c r="BL995" s="98"/>
      <c r="BM995" s="57"/>
    </row>
    <row r="996" spans="1:65" ht="11.25" x14ac:dyDescent="0.2">
      <c r="A996" s="57"/>
      <c r="B996" s="57"/>
      <c r="C996" s="57"/>
      <c r="D996" s="57"/>
      <c r="E996" s="57"/>
      <c r="F996" s="57"/>
      <c r="G996" s="57"/>
      <c r="H996" s="57"/>
      <c r="I996" s="57"/>
      <c r="J996" s="57"/>
      <c r="L996" s="57"/>
      <c r="M996" s="57"/>
      <c r="N996" s="57"/>
      <c r="O996" s="57"/>
      <c r="P996" s="57"/>
      <c r="Q996" s="57"/>
      <c r="R996" s="57"/>
      <c r="S996" s="57"/>
      <c r="T996" s="57"/>
      <c r="U996" s="57"/>
      <c r="V996" s="57"/>
      <c r="W996" s="57"/>
      <c r="X996" s="57"/>
      <c r="Y996" s="98"/>
      <c r="AA996" s="98"/>
      <c r="AR996" s="98"/>
      <c r="AS996" s="57"/>
      <c r="AU996" s="57"/>
      <c r="BF996" s="98"/>
      <c r="BG996" s="98"/>
      <c r="BH996" s="98"/>
      <c r="BI996" s="98"/>
      <c r="BJ996" s="98"/>
      <c r="BK996" s="98"/>
      <c r="BL996" s="98"/>
      <c r="BM996" s="57"/>
    </row>
    <row r="997" spans="1:65" ht="11.25" x14ac:dyDescent="0.2">
      <c r="A997" s="57"/>
      <c r="B997" s="57"/>
      <c r="C997" s="57"/>
      <c r="D997" s="57"/>
      <c r="E997" s="57"/>
      <c r="F997" s="57"/>
      <c r="G997" s="57"/>
      <c r="H997" s="57"/>
      <c r="I997" s="57"/>
      <c r="J997" s="57"/>
      <c r="L997" s="57"/>
      <c r="M997" s="57"/>
      <c r="N997" s="57"/>
      <c r="O997" s="57"/>
      <c r="P997" s="57"/>
      <c r="Q997" s="57"/>
      <c r="R997" s="57"/>
      <c r="S997" s="57"/>
      <c r="T997" s="57"/>
      <c r="U997" s="57"/>
      <c r="V997" s="57"/>
      <c r="W997" s="57"/>
      <c r="X997" s="57"/>
      <c r="Y997" s="98"/>
      <c r="AA997" s="98"/>
      <c r="AR997" s="98"/>
      <c r="AS997" s="57"/>
      <c r="AU997" s="57"/>
      <c r="BF997" s="98"/>
      <c r="BG997" s="98"/>
      <c r="BH997" s="98"/>
      <c r="BI997" s="98"/>
      <c r="BJ997" s="98"/>
      <c r="BK997" s="98"/>
      <c r="BL997" s="98"/>
      <c r="BM997" s="57"/>
    </row>
    <row r="998" spans="1:65" ht="11.25" x14ac:dyDescent="0.2">
      <c r="A998" s="57"/>
      <c r="B998" s="57"/>
      <c r="C998" s="57"/>
      <c r="D998" s="57"/>
      <c r="E998" s="57"/>
      <c r="F998" s="57"/>
      <c r="G998" s="57"/>
      <c r="H998" s="57"/>
      <c r="I998" s="57"/>
      <c r="J998" s="57"/>
      <c r="L998" s="57"/>
      <c r="M998" s="57"/>
      <c r="N998" s="57"/>
      <c r="O998" s="57"/>
      <c r="P998" s="57"/>
      <c r="Q998" s="57"/>
      <c r="R998" s="57"/>
      <c r="S998" s="57"/>
      <c r="T998" s="57"/>
      <c r="U998" s="57"/>
      <c r="V998" s="57"/>
      <c r="W998" s="57"/>
      <c r="X998" s="57"/>
      <c r="Y998" s="98"/>
      <c r="AA998" s="98"/>
      <c r="AR998" s="98"/>
      <c r="AS998" s="57"/>
      <c r="AU998" s="57"/>
      <c r="BF998" s="98"/>
      <c r="BG998" s="98"/>
      <c r="BH998" s="98"/>
      <c r="BI998" s="98"/>
      <c r="BJ998" s="98"/>
      <c r="BK998" s="98"/>
      <c r="BL998" s="98"/>
      <c r="BM998" s="57"/>
    </row>
    <row r="999" spans="1:65" ht="11.25" x14ac:dyDescent="0.2">
      <c r="A999" s="57"/>
      <c r="B999" s="57"/>
      <c r="C999" s="57"/>
      <c r="D999" s="57"/>
      <c r="E999" s="57"/>
      <c r="F999" s="57"/>
      <c r="G999" s="57"/>
      <c r="H999" s="57"/>
      <c r="I999" s="57"/>
      <c r="J999" s="57"/>
      <c r="L999" s="57"/>
      <c r="M999" s="57"/>
      <c r="N999" s="57"/>
      <c r="O999" s="57"/>
      <c r="P999" s="57"/>
      <c r="Q999" s="57"/>
      <c r="R999" s="57"/>
      <c r="S999" s="57"/>
      <c r="T999" s="57"/>
      <c r="U999" s="57"/>
      <c r="V999" s="57"/>
      <c r="W999" s="57"/>
      <c r="X999" s="57"/>
      <c r="Y999" s="98"/>
      <c r="AA999" s="98"/>
      <c r="AR999" s="98"/>
      <c r="AS999" s="57"/>
      <c r="AU999" s="57"/>
      <c r="BF999" s="98"/>
      <c r="BG999" s="98"/>
      <c r="BH999" s="98"/>
      <c r="BI999" s="98"/>
      <c r="BJ999" s="98"/>
      <c r="BK999" s="98"/>
      <c r="BL999" s="98"/>
      <c r="BM999" s="57"/>
    </row>
    <row r="1000" spans="1:65" ht="11.25" x14ac:dyDescent="0.2">
      <c r="A1000" s="57"/>
      <c r="B1000" s="57"/>
      <c r="C1000" s="57"/>
      <c r="D1000" s="57"/>
      <c r="E1000" s="57"/>
      <c r="F1000" s="57"/>
      <c r="G1000" s="57"/>
      <c r="H1000" s="57"/>
      <c r="I1000" s="57"/>
      <c r="J1000" s="57"/>
      <c r="L1000" s="57"/>
      <c r="M1000" s="57"/>
      <c r="N1000" s="57"/>
      <c r="O1000" s="57"/>
      <c r="P1000" s="57"/>
      <c r="Q1000" s="57"/>
      <c r="R1000" s="57"/>
      <c r="S1000" s="57"/>
      <c r="T1000" s="57"/>
      <c r="U1000" s="57"/>
      <c r="V1000" s="57"/>
      <c r="W1000" s="57"/>
      <c r="X1000" s="57"/>
      <c r="Y1000" s="98"/>
      <c r="AA1000" s="98"/>
      <c r="AR1000" s="98"/>
      <c r="AS1000" s="57"/>
      <c r="AU1000" s="57"/>
      <c r="BF1000" s="98"/>
      <c r="BG1000" s="98"/>
      <c r="BH1000" s="98"/>
      <c r="BI1000" s="98"/>
      <c r="BJ1000" s="98"/>
      <c r="BK1000" s="98"/>
      <c r="BL1000" s="98"/>
      <c r="BM1000" s="57"/>
    </row>
    <row r="1001" spans="1:65" ht="11.25" x14ac:dyDescent="0.2">
      <c r="A1001" s="57"/>
      <c r="B1001" s="57"/>
      <c r="C1001" s="57"/>
      <c r="D1001" s="57"/>
      <c r="E1001" s="57"/>
      <c r="F1001" s="57"/>
      <c r="G1001" s="57"/>
      <c r="H1001" s="57"/>
      <c r="I1001" s="57"/>
      <c r="J1001" s="57"/>
      <c r="L1001" s="57"/>
      <c r="M1001" s="57"/>
      <c r="N1001" s="57"/>
      <c r="O1001" s="57"/>
      <c r="P1001" s="57"/>
      <c r="Q1001" s="57"/>
      <c r="R1001" s="57"/>
      <c r="S1001" s="57"/>
      <c r="T1001" s="57"/>
      <c r="U1001" s="57"/>
      <c r="V1001" s="57"/>
      <c r="W1001" s="57"/>
      <c r="X1001" s="57"/>
      <c r="Y1001" s="98"/>
      <c r="AA1001" s="98"/>
      <c r="AR1001" s="98"/>
      <c r="AS1001" s="57"/>
      <c r="AU1001" s="57"/>
      <c r="BF1001" s="98"/>
      <c r="BG1001" s="98"/>
      <c r="BH1001" s="98"/>
      <c r="BI1001" s="98"/>
      <c r="BJ1001" s="98"/>
      <c r="BK1001" s="98"/>
      <c r="BL1001" s="98"/>
      <c r="BM1001" s="57"/>
    </row>
    <row r="1002" spans="1:65" ht="11.25" x14ac:dyDescent="0.2">
      <c r="A1002" s="57"/>
      <c r="B1002" s="57"/>
      <c r="C1002" s="57"/>
      <c r="D1002" s="57"/>
      <c r="E1002" s="57"/>
      <c r="F1002" s="57"/>
      <c r="G1002" s="57"/>
      <c r="H1002" s="57"/>
      <c r="I1002" s="57"/>
      <c r="J1002" s="57"/>
      <c r="L1002" s="57"/>
      <c r="M1002" s="57"/>
      <c r="N1002" s="57"/>
      <c r="O1002" s="57"/>
      <c r="P1002" s="57"/>
      <c r="Q1002" s="57"/>
      <c r="R1002" s="57"/>
      <c r="S1002" s="57"/>
      <c r="T1002" s="57"/>
      <c r="U1002" s="57"/>
      <c r="V1002" s="57"/>
      <c r="W1002" s="57"/>
      <c r="X1002" s="57"/>
      <c r="Y1002" s="98"/>
      <c r="AA1002" s="98"/>
      <c r="AR1002" s="98"/>
      <c r="AS1002" s="57"/>
      <c r="AU1002" s="57"/>
      <c r="BF1002" s="98"/>
      <c r="BG1002" s="98"/>
      <c r="BH1002" s="98"/>
      <c r="BI1002" s="98"/>
      <c r="BJ1002" s="98"/>
      <c r="BK1002" s="98"/>
      <c r="BL1002" s="98"/>
      <c r="BM1002" s="57"/>
    </row>
    <row r="1003" spans="1:65" ht="11.25" x14ac:dyDescent="0.2">
      <c r="A1003" s="57"/>
      <c r="B1003" s="57"/>
      <c r="C1003" s="57"/>
      <c r="D1003" s="57"/>
      <c r="E1003" s="57"/>
      <c r="F1003" s="57"/>
      <c r="G1003" s="57"/>
      <c r="H1003" s="57"/>
      <c r="I1003" s="57"/>
      <c r="J1003" s="57"/>
      <c r="L1003" s="57"/>
      <c r="M1003" s="57"/>
      <c r="N1003" s="57"/>
      <c r="O1003" s="57"/>
      <c r="P1003" s="57"/>
      <c r="Q1003" s="57"/>
      <c r="R1003" s="57"/>
      <c r="S1003" s="57"/>
      <c r="T1003" s="57"/>
      <c r="U1003" s="57"/>
      <c r="V1003" s="57"/>
      <c r="W1003" s="57"/>
      <c r="X1003" s="57"/>
      <c r="Y1003" s="98"/>
      <c r="AA1003" s="98"/>
      <c r="AR1003" s="98"/>
      <c r="AS1003" s="57"/>
      <c r="AU1003" s="57"/>
      <c r="BF1003" s="98"/>
      <c r="BG1003" s="98"/>
      <c r="BH1003" s="98"/>
      <c r="BI1003" s="98"/>
      <c r="BJ1003" s="98"/>
      <c r="BK1003" s="98"/>
      <c r="BL1003" s="98"/>
      <c r="BM1003" s="57"/>
    </row>
    <row r="1004" spans="1:65" ht="11.25" x14ac:dyDescent="0.2">
      <c r="A1004" s="57"/>
      <c r="B1004" s="57"/>
      <c r="C1004" s="57"/>
      <c r="D1004" s="57"/>
      <c r="E1004" s="57"/>
      <c r="F1004" s="57"/>
      <c r="G1004" s="57"/>
      <c r="H1004" s="57"/>
      <c r="I1004" s="57"/>
      <c r="J1004" s="57"/>
      <c r="L1004" s="57"/>
      <c r="M1004" s="57"/>
      <c r="N1004" s="57"/>
      <c r="O1004" s="57"/>
      <c r="P1004" s="57"/>
      <c r="Q1004" s="57"/>
      <c r="R1004" s="57"/>
      <c r="S1004" s="57"/>
      <c r="T1004" s="57"/>
      <c r="U1004" s="57"/>
      <c r="V1004" s="57"/>
      <c r="W1004" s="57"/>
      <c r="X1004" s="57"/>
      <c r="Y1004" s="98"/>
      <c r="AA1004" s="98"/>
      <c r="AR1004" s="98"/>
      <c r="AS1004" s="57"/>
      <c r="AU1004" s="57"/>
      <c r="BF1004" s="98"/>
      <c r="BG1004" s="98"/>
      <c r="BH1004" s="98"/>
      <c r="BI1004" s="98"/>
      <c r="BJ1004" s="98"/>
      <c r="BK1004" s="98"/>
      <c r="BL1004" s="98"/>
      <c r="BM1004" s="57"/>
    </row>
    <row r="1005" spans="1:65" ht="11.25" x14ac:dyDescent="0.2">
      <c r="A1005" s="57"/>
      <c r="B1005" s="57"/>
      <c r="C1005" s="57"/>
      <c r="D1005" s="57"/>
      <c r="E1005" s="57"/>
      <c r="F1005" s="57"/>
      <c r="G1005" s="57"/>
      <c r="H1005" s="57"/>
      <c r="I1005" s="57"/>
      <c r="J1005" s="57"/>
      <c r="L1005" s="57"/>
      <c r="M1005" s="57"/>
      <c r="N1005" s="57"/>
      <c r="O1005" s="57"/>
      <c r="P1005" s="57"/>
      <c r="Q1005" s="57"/>
      <c r="R1005" s="57"/>
      <c r="S1005" s="57"/>
      <c r="T1005" s="57"/>
      <c r="U1005" s="57"/>
      <c r="V1005" s="57"/>
      <c r="W1005" s="57"/>
      <c r="X1005" s="57"/>
      <c r="Y1005" s="98"/>
      <c r="AA1005" s="98"/>
      <c r="AR1005" s="98"/>
      <c r="AS1005" s="57"/>
      <c r="AU1005" s="57"/>
      <c r="BF1005" s="98"/>
      <c r="BG1005" s="98"/>
      <c r="BH1005" s="98"/>
      <c r="BI1005" s="98"/>
      <c r="BJ1005" s="98"/>
      <c r="BK1005" s="98"/>
      <c r="BL1005" s="98"/>
      <c r="BM1005" s="57"/>
    </row>
    <row r="1006" spans="1:65" ht="11.25" x14ac:dyDescent="0.2">
      <c r="A1006" s="57"/>
      <c r="B1006" s="57"/>
      <c r="C1006" s="57"/>
      <c r="D1006" s="57"/>
      <c r="E1006" s="57"/>
      <c r="F1006" s="57"/>
      <c r="G1006" s="57"/>
      <c r="H1006" s="57"/>
      <c r="I1006" s="57"/>
      <c r="J1006" s="57"/>
      <c r="L1006" s="57"/>
      <c r="M1006" s="57"/>
      <c r="N1006" s="57"/>
      <c r="O1006" s="57"/>
      <c r="P1006" s="57"/>
      <c r="Q1006" s="57"/>
      <c r="R1006" s="57"/>
      <c r="S1006" s="57"/>
      <c r="T1006" s="57"/>
      <c r="U1006" s="57"/>
      <c r="V1006" s="57"/>
      <c r="W1006" s="57"/>
      <c r="X1006" s="57"/>
      <c r="Y1006" s="98"/>
      <c r="AA1006" s="98"/>
      <c r="AR1006" s="98"/>
      <c r="AS1006" s="57"/>
      <c r="AU1006" s="57"/>
      <c r="BF1006" s="98"/>
      <c r="BG1006" s="98"/>
      <c r="BH1006" s="98"/>
      <c r="BI1006" s="98"/>
      <c r="BJ1006" s="98"/>
      <c r="BK1006" s="98"/>
      <c r="BL1006" s="98"/>
      <c r="BM1006" s="57"/>
    </row>
    <row r="1007" spans="1:65" ht="11.25" x14ac:dyDescent="0.2">
      <c r="A1007" s="57"/>
      <c r="B1007" s="57"/>
      <c r="C1007" s="57"/>
      <c r="D1007" s="57"/>
      <c r="E1007" s="57"/>
      <c r="F1007" s="57"/>
      <c r="G1007" s="57"/>
      <c r="H1007" s="57"/>
      <c r="I1007" s="57"/>
      <c r="J1007" s="57"/>
      <c r="L1007" s="57"/>
      <c r="M1007" s="57"/>
      <c r="N1007" s="57"/>
      <c r="O1007" s="57"/>
      <c r="P1007" s="57"/>
      <c r="Q1007" s="57"/>
      <c r="R1007" s="57"/>
      <c r="S1007" s="57"/>
      <c r="T1007" s="57"/>
      <c r="U1007" s="57"/>
      <c r="V1007" s="57"/>
      <c r="W1007" s="57"/>
      <c r="X1007" s="57"/>
      <c r="Y1007" s="98"/>
      <c r="AA1007" s="98"/>
      <c r="AR1007" s="98"/>
      <c r="AS1007" s="57"/>
      <c r="AU1007" s="57"/>
      <c r="BF1007" s="98"/>
      <c r="BG1007" s="98"/>
      <c r="BH1007" s="98"/>
      <c r="BI1007" s="98"/>
      <c r="BJ1007" s="98"/>
      <c r="BK1007" s="98"/>
      <c r="BL1007" s="98"/>
      <c r="BM1007" s="57"/>
    </row>
    <row r="1008" spans="1:65" ht="11.25" x14ac:dyDescent="0.2">
      <c r="A1008" s="57"/>
      <c r="B1008" s="57"/>
      <c r="C1008" s="57"/>
      <c r="D1008" s="57"/>
      <c r="E1008" s="57"/>
      <c r="F1008" s="57"/>
      <c r="G1008" s="57"/>
      <c r="H1008" s="57"/>
      <c r="I1008" s="57"/>
      <c r="J1008" s="57"/>
      <c r="L1008" s="57"/>
      <c r="M1008" s="57"/>
      <c r="N1008" s="57"/>
      <c r="O1008" s="57"/>
      <c r="P1008" s="57"/>
      <c r="Q1008" s="57"/>
      <c r="R1008" s="57"/>
      <c r="S1008" s="57"/>
      <c r="T1008" s="57"/>
      <c r="U1008" s="57"/>
      <c r="V1008" s="57"/>
      <c r="W1008" s="57"/>
      <c r="X1008" s="57"/>
      <c r="Y1008" s="98"/>
      <c r="AA1008" s="98"/>
      <c r="AR1008" s="98"/>
      <c r="AS1008" s="57"/>
      <c r="AU1008" s="57"/>
      <c r="BF1008" s="98"/>
      <c r="BG1008" s="98"/>
      <c r="BH1008" s="98"/>
      <c r="BI1008" s="98"/>
      <c r="BJ1008" s="98"/>
      <c r="BK1008" s="98"/>
      <c r="BL1008" s="98"/>
      <c r="BM1008" s="57"/>
    </row>
    <row r="1009" spans="1:65" ht="11.25" x14ac:dyDescent="0.2">
      <c r="A1009" s="57"/>
      <c r="B1009" s="57"/>
      <c r="C1009" s="57"/>
      <c r="D1009" s="57"/>
      <c r="E1009" s="57"/>
      <c r="F1009" s="57"/>
      <c r="G1009" s="57"/>
      <c r="H1009" s="57"/>
      <c r="I1009" s="57"/>
      <c r="J1009" s="57"/>
      <c r="L1009" s="57"/>
      <c r="M1009" s="57"/>
      <c r="N1009" s="57"/>
      <c r="O1009" s="57"/>
      <c r="P1009" s="57"/>
      <c r="Q1009" s="57"/>
      <c r="R1009" s="57"/>
      <c r="S1009" s="57"/>
      <c r="T1009" s="57"/>
      <c r="U1009" s="57"/>
      <c r="V1009" s="57"/>
      <c r="W1009" s="57"/>
      <c r="X1009" s="57"/>
      <c r="Y1009" s="98"/>
      <c r="AA1009" s="98"/>
      <c r="AR1009" s="98"/>
      <c r="AS1009" s="57"/>
      <c r="AU1009" s="57"/>
      <c r="BF1009" s="98"/>
      <c r="BG1009" s="98"/>
      <c r="BH1009" s="98"/>
      <c r="BI1009" s="98"/>
      <c r="BJ1009" s="98"/>
      <c r="BK1009" s="98"/>
      <c r="BL1009" s="98"/>
      <c r="BM1009" s="57"/>
    </row>
    <row r="1010" spans="1:65" ht="11.25" x14ac:dyDescent="0.2">
      <c r="A1010" s="57"/>
      <c r="B1010" s="57"/>
      <c r="C1010" s="57"/>
      <c r="D1010" s="57"/>
      <c r="E1010" s="57"/>
      <c r="F1010" s="57"/>
      <c r="G1010" s="57"/>
      <c r="H1010" s="57"/>
      <c r="I1010" s="57"/>
      <c r="J1010" s="57"/>
      <c r="L1010" s="57"/>
      <c r="M1010" s="57"/>
      <c r="N1010" s="57"/>
      <c r="O1010" s="57"/>
      <c r="P1010" s="57"/>
      <c r="Q1010" s="57"/>
      <c r="R1010" s="57"/>
      <c r="S1010" s="57"/>
      <c r="T1010" s="57"/>
      <c r="U1010" s="57"/>
      <c r="V1010" s="57"/>
      <c r="W1010" s="57"/>
      <c r="X1010" s="57"/>
      <c r="Y1010" s="98"/>
      <c r="AA1010" s="98"/>
      <c r="AR1010" s="98"/>
      <c r="AS1010" s="57"/>
      <c r="AU1010" s="57"/>
      <c r="BF1010" s="98"/>
      <c r="BG1010" s="98"/>
      <c r="BH1010" s="98"/>
      <c r="BI1010" s="98"/>
      <c r="BJ1010" s="98"/>
      <c r="BK1010" s="98"/>
      <c r="BL1010" s="98"/>
      <c r="BM1010" s="57"/>
    </row>
    <row r="1011" spans="1:65" ht="11.25" x14ac:dyDescent="0.2">
      <c r="A1011" s="57"/>
      <c r="B1011" s="57"/>
      <c r="C1011" s="57"/>
      <c r="D1011" s="57"/>
      <c r="E1011" s="57"/>
      <c r="F1011" s="57"/>
      <c r="G1011" s="57"/>
      <c r="H1011" s="57"/>
      <c r="I1011" s="57"/>
      <c r="J1011" s="57"/>
      <c r="L1011" s="57"/>
      <c r="M1011" s="57"/>
      <c r="N1011" s="57"/>
      <c r="O1011" s="57"/>
      <c r="P1011" s="57"/>
      <c r="Q1011" s="57"/>
      <c r="R1011" s="57"/>
      <c r="S1011" s="57"/>
      <c r="T1011" s="57"/>
      <c r="U1011" s="57"/>
      <c r="V1011" s="57"/>
      <c r="W1011" s="57"/>
      <c r="X1011" s="57"/>
      <c r="Y1011" s="98"/>
      <c r="AA1011" s="98"/>
      <c r="AR1011" s="98"/>
      <c r="AS1011" s="57"/>
      <c r="AU1011" s="57"/>
      <c r="BF1011" s="98"/>
      <c r="BG1011" s="98"/>
      <c r="BH1011" s="98"/>
      <c r="BI1011" s="98"/>
      <c r="BJ1011" s="98"/>
      <c r="BK1011" s="98"/>
      <c r="BL1011" s="98"/>
      <c r="BM1011" s="57"/>
    </row>
    <row r="1012" spans="1:65" ht="11.25" x14ac:dyDescent="0.2">
      <c r="A1012" s="57"/>
      <c r="B1012" s="57"/>
      <c r="C1012" s="57"/>
      <c r="D1012" s="57"/>
      <c r="E1012" s="57"/>
      <c r="F1012" s="57"/>
      <c r="G1012" s="57"/>
      <c r="H1012" s="57"/>
      <c r="I1012" s="57"/>
      <c r="J1012" s="57"/>
      <c r="L1012" s="57"/>
      <c r="M1012" s="57"/>
      <c r="N1012" s="57"/>
      <c r="O1012" s="57"/>
      <c r="P1012" s="57"/>
      <c r="Q1012" s="57"/>
      <c r="R1012" s="57"/>
      <c r="S1012" s="57"/>
      <c r="T1012" s="57"/>
      <c r="U1012" s="57"/>
      <c r="V1012" s="57"/>
      <c r="W1012" s="57"/>
      <c r="X1012" s="57"/>
      <c r="Y1012" s="98"/>
      <c r="AA1012" s="98"/>
      <c r="AR1012" s="98"/>
      <c r="AS1012" s="57"/>
      <c r="AU1012" s="57"/>
      <c r="BF1012" s="98"/>
      <c r="BG1012" s="98"/>
      <c r="BH1012" s="98"/>
      <c r="BI1012" s="98"/>
      <c r="BJ1012" s="98"/>
      <c r="BK1012" s="98"/>
      <c r="BL1012" s="98"/>
      <c r="BM1012" s="57"/>
    </row>
    <row r="1013" spans="1:65" ht="11.25" x14ac:dyDescent="0.2">
      <c r="A1013" s="57"/>
      <c r="B1013" s="57"/>
      <c r="C1013" s="57"/>
      <c r="D1013" s="57"/>
      <c r="E1013" s="57"/>
      <c r="F1013" s="57"/>
      <c r="G1013" s="57"/>
      <c r="H1013" s="57"/>
      <c r="I1013" s="57"/>
      <c r="J1013" s="57"/>
      <c r="L1013" s="57"/>
      <c r="M1013" s="57"/>
      <c r="N1013" s="57"/>
      <c r="O1013" s="57"/>
      <c r="P1013" s="57"/>
      <c r="Q1013" s="57"/>
      <c r="R1013" s="57"/>
      <c r="S1013" s="57"/>
      <c r="T1013" s="57"/>
      <c r="U1013" s="57"/>
      <c r="V1013" s="57"/>
      <c r="W1013" s="57"/>
      <c r="X1013" s="57"/>
      <c r="Y1013" s="98"/>
      <c r="AA1013" s="98"/>
      <c r="AR1013" s="98"/>
      <c r="AS1013" s="57"/>
      <c r="AU1013" s="57"/>
      <c r="BF1013" s="98"/>
      <c r="BG1013" s="98"/>
      <c r="BH1013" s="98"/>
      <c r="BI1013" s="98"/>
      <c r="BJ1013" s="98"/>
      <c r="BK1013" s="98"/>
      <c r="BL1013" s="98"/>
      <c r="BM1013" s="57"/>
    </row>
    <row r="1014" spans="1:65" ht="11.25" x14ac:dyDescent="0.2">
      <c r="A1014" s="57"/>
      <c r="B1014" s="57"/>
      <c r="C1014" s="57"/>
      <c r="D1014" s="57"/>
      <c r="E1014" s="57"/>
      <c r="F1014" s="57"/>
      <c r="G1014" s="57"/>
      <c r="H1014" s="57"/>
      <c r="I1014" s="57"/>
      <c r="J1014" s="57"/>
      <c r="L1014" s="57"/>
      <c r="M1014" s="57"/>
      <c r="N1014" s="57"/>
      <c r="O1014" s="57"/>
      <c r="P1014" s="57"/>
      <c r="Q1014" s="57"/>
      <c r="R1014" s="57"/>
      <c r="S1014" s="57"/>
      <c r="T1014" s="57"/>
      <c r="U1014" s="57"/>
      <c r="V1014" s="57"/>
      <c r="W1014" s="57"/>
      <c r="X1014" s="57"/>
      <c r="Y1014" s="98"/>
      <c r="AA1014" s="98"/>
      <c r="AR1014" s="98"/>
      <c r="AS1014" s="57"/>
      <c r="AU1014" s="57"/>
      <c r="BF1014" s="98"/>
      <c r="BG1014" s="98"/>
      <c r="BH1014" s="98"/>
      <c r="BI1014" s="98"/>
      <c r="BJ1014" s="98"/>
      <c r="BK1014" s="98"/>
      <c r="BL1014" s="98"/>
      <c r="BM1014" s="57"/>
    </row>
    <row r="1015" spans="1:65" ht="11.25" x14ac:dyDescent="0.2">
      <c r="A1015" s="57"/>
      <c r="B1015" s="57"/>
      <c r="C1015" s="57"/>
      <c r="D1015" s="57"/>
      <c r="E1015" s="57"/>
      <c r="F1015" s="57"/>
      <c r="G1015" s="57"/>
      <c r="H1015" s="57"/>
      <c r="I1015" s="57"/>
      <c r="J1015" s="57"/>
      <c r="L1015" s="57"/>
      <c r="M1015" s="57"/>
      <c r="N1015" s="57"/>
      <c r="O1015" s="57"/>
      <c r="P1015" s="57"/>
      <c r="Q1015" s="57"/>
      <c r="R1015" s="57"/>
      <c r="S1015" s="57"/>
      <c r="T1015" s="57"/>
      <c r="U1015" s="57"/>
      <c r="V1015" s="57"/>
      <c r="W1015" s="57"/>
      <c r="X1015" s="57"/>
      <c r="Y1015" s="98"/>
      <c r="AA1015" s="98"/>
      <c r="AR1015" s="98"/>
      <c r="AS1015" s="57"/>
      <c r="AU1015" s="57"/>
      <c r="BF1015" s="98"/>
      <c r="BG1015" s="98"/>
      <c r="BH1015" s="98"/>
      <c r="BI1015" s="98"/>
      <c r="BJ1015" s="98"/>
      <c r="BK1015" s="98"/>
      <c r="BL1015" s="98"/>
      <c r="BM1015" s="57"/>
    </row>
    <row r="1016" spans="1:65" ht="11.25" x14ac:dyDescent="0.2">
      <c r="A1016" s="57"/>
      <c r="B1016" s="57"/>
      <c r="C1016" s="57"/>
      <c r="D1016" s="57"/>
      <c r="E1016" s="57"/>
      <c r="F1016" s="57"/>
      <c r="G1016" s="57"/>
      <c r="H1016" s="57"/>
      <c r="I1016" s="57"/>
      <c r="J1016" s="57"/>
      <c r="L1016" s="57"/>
      <c r="M1016" s="57"/>
      <c r="N1016" s="57"/>
      <c r="O1016" s="57"/>
      <c r="P1016" s="57"/>
      <c r="Q1016" s="57"/>
      <c r="R1016" s="57"/>
      <c r="S1016" s="57"/>
      <c r="T1016" s="57"/>
      <c r="U1016" s="57"/>
      <c r="V1016" s="57"/>
      <c r="W1016" s="57"/>
      <c r="X1016" s="57"/>
      <c r="Y1016" s="98"/>
      <c r="AA1016" s="98"/>
      <c r="AR1016" s="98"/>
      <c r="AS1016" s="57"/>
      <c r="AU1016" s="57"/>
      <c r="BF1016" s="98"/>
      <c r="BG1016" s="98"/>
      <c r="BH1016" s="98"/>
      <c r="BI1016" s="98"/>
      <c r="BJ1016" s="98"/>
      <c r="BK1016" s="98"/>
      <c r="BL1016" s="98"/>
      <c r="BM1016" s="57"/>
    </row>
    <row r="1017" spans="1:65" ht="11.25" x14ac:dyDescent="0.2">
      <c r="A1017" s="57"/>
      <c r="B1017" s="57"/>
      <c r="C1017" s="57"/>
      <c r="D1017" s="57"/>
      <c r="E1017" s="57"/>
      <c r="F1017" s="57"/>
      <c r="G1017" s="57"/>
      <c r="H1017" s="57"/>
      <c r="I1017" s="57"/>
      <c r="J1017" s="57"/>
      <c r="L1017" s="57"/>
      <c r="M1017" s="57"/>
      <c r="N1017" s="57"/>
      <c r="O1017" s="57"/>
      <c r="P1017" s="57"/>
      <c r="Q1017" s="57"/>
      <c r="R1017" s="57"/>
      <c r="S1017" s="57"/>
      <c r="T1017" s="57"/>
      <c r="U1017" s="57"/>
      <c r="V1017" s="57"/>
      <c r="W1017" s="57"/>
      <c r="X1017" s="57"/>
      <c r="Y1017" s="98"/>
      <c r="AA1017" s="98"/>
      <c r="AR1017" s="98"/>
      <c r="AS1017" s="57"/>
      <c r="AU1017" s="57"/>
      <c r="BF1017" s="98"/>
      <c r="BG1017" s="98"/>
      <c r="BH1017" s="98"/>
      <c r="BI1017" s="98"/>
      <c r="BJ1017" s="98"/>
      <c r="BK1017" s="98"/>
      <c r="BL1017" s="98"/>
      <c r="BM1017" s="57"/>
    </row>
    <row r="1018" spans="1:65" ht="11.25" x14ac:dyDescent="0.2">
      <c r="A1018" s="57"/>
      <c r="B1018" s="57"/>
      <c r="C1018" s="57"/>
      <c r="D1018" s="57"/>
      <c r="E1018" s="57"/>
      <c r="F1018" s="57"/>
      <c r="G1018" s="57"/>
      <c r="H1018" s="57"/>
      <c r="I1018" s="57"/>
      <c r="J1018" s="57"/>
      <c r="L1018" s="57"/>
      <c r="M1018" s="57"/>
      <c r="N1018" s="57"/>
      <c r="O1018" s="57"/>
      <c r="P1018" s="57"/>
      <c r="Q1018" s="57"/>
      <c r="R1018" s="57"/>
      <c r="S1018" s="57"/>
      <c r="T1018" s="57"/>
      <c r="U1018" s="57"/>
      <c r="V1018" s="57"/>
      <c r="W1018" s="57"/>
      <c r="X1018" s="57"/>
      <c r="Y1018" s="98"/>
      <c r="AA1018" s="98"/>
      <c r="AR1018" s="98"/>
      <c r="AS1018" s="57"/>
      <c r="AU1018" s="57"/>
      <c r="BF1018" s="98"/>
      <c r="BG1018" s="98"/>
      <c r="BH1018" s="98"/>
      <c r="BI1018" s="98"/>
      <c r="BJ1018" s="98"/>
      <c r="BK1018" s="98"/>
      <c r="BL1018" s="98"/>
      <c r="BM1018" s="57"/>
    </row>
    <row r="1019" spans="1:65" ht="11.25" x14ac:dyDescent="0.2">
      <c r="A1019" s="57"/>
      <c r="B1019" s="57"/>
      <c r="C1019" s="57"/>
      <c r="D1019" s="57"/>
      <c r="E1019" s="57"/>
      <c r="F1019" s="57"/>
      <c r="G1019" s="57"/>
      <c r="H1019" s="57"/>
      <c r="I1019" s="57"/>
      <c r="J1019" s="57"/>
      <c r="L1019" s="57"/>
      <c r="M1019" s="57"/>
      <c r="N1019" s="57"/>
      <c r="O1019" s="57"/>
      <c r="P1019" s="57"/>
      <c r="Q1019" s="57"/>
      <c r="R1019" s="57"/>
      <c r="S1019" s="57"/>
      <c r="T1019" s="57"/>
      <c r="U1019" s="57"/>
      <c r="V1019" s="57"/>
      <c r="W1019" s="57"/>
      <c r="X1019" s="57"/>
      <c r="Y1019" s="98"/>
      <c r="AA1019" s="98"/>
      <c r="AR1019" s="98"/>
      <c r="AS1019" s="57"/>
      <c r="AU1019" s="57"/>
      <c r="BF1019" s="98"/>
      <c r="BG1019" s="98"/>
      <c r="BH1019" s="98"/>
      <c r="BI1019" s="98"/>
      <c r="BJ1019" s="98"/>
      <c r="BK1019" s="98"/>
      <c r="BL1019" s="98"/>
      <c r="BM1019" s="57"/>
    </row>
    <row r="1020" spans="1:65" ht="11.25" x14ac:dyDescent="0.2">
      <c r="A1020" s="57"/>
      <c r="B1020" s="57"/>
      <c r="C1020" s="57"/>
      <c r="D1020" s="57"/>
      <c r="E1020" s="57"/>
      <c r="F1020" s="57"/>
      <c r="G1020" s="57"/>
      <c r="H1020" s="57"/>
      <c r="I1020" s="57"/>
      <c r="J1020" s="57"/>
      <c r="L1020" s="57"/>
      <c r="M1020" s="57"/>
      <c r="N1020" s="57"/>
      <c r="O1020" s="57"/>
      <c r="P1020" s="57"/>
      <c r="Q1020" s="57"/>
      <c r="R1020" s="57"/>
      <c r="S1020" s="57"/>
      <c r="T1020" s="57"/>
      <c r="U1020" s="57"/>
      <c r="V1020" s="57"/>
      <c r="W1020" s="57"/>
      <c r="X1020" s="57"/>
      <c r="Y1020" s="98"/>
      <c r="AA1020" s="98"/>
      <c r="AR1020" s="98"/>
      <c r="AS1020" s="57"/>
      <c r="AU1020" s="57"/>
      <c r="BF1020" s="98"/>
      <c r="BG1020" s="98"/>
      <c r="BH1020" s="98"/>
      <c r="BI1020" s="98"/>
      <c r="BJ1020" s="98"/>
      <c r="BK1020" s="98"/>
      <c r="BL1020" s="98"/>
      <c r="BM1020" s="57"/>
    </row>
    <row r="1021" spans="1:65" ht="11.25" x14ac:dyDescent="0.2">
      <c r="A1021" s="57"/>
      <c r="B1021" s="57"/>
      <c r="C1021" s="57"/>
      <c r="D1021" s="57"/>
      <c r="E1021" s="57"/>
      <c r="F1021" s="57"/>
      <c r="G1021" s="57"/>
      <c r="H1021" s="57"/>
      <c r="I1021" s="57"/>
      <c r="J1021" s="57"/>
      <c r="L1021" s="57"/>
      <c r="M1021" s="57"/>
      <c r="N1021" s="57"/>
      <c r="O1021" s="57"/>
      <c r="P1021" s="57"/>
      <c r="Q1021" s="57"/>
      <c r="R1021" s="57"/>
      <c r="S1021" s="57"/>
      <c r="T1021" s="57"/>
      <c r="U1021" s="57"/>
      <c r="V1021" s="57"/>
      <c r="W1021" s="57"/>
      <c r="X1021" s="57"/>
      <c r="Y1021" s="98"/>
      <c r="AA1021" s="98"/>
      <c r="AR1021" s="98"/>
      <c r="AS1021" s="57"/>
      <c r="AU1021" s="57"/>
      <c r="BF1021" s="98"/>
      <c r="BG1021" s="98"/>
      <c r="BH1021" s="98"/>
      <c r="BI1021" s="98"/>
      <c r="BJ1021" s="98"/>
      <c r="BK1021" s="98"/>
      <c r="BL1021" s="98"/>
      <c r="BM1021" s="57"/>
    </row>
    <row r="1022" spans="1:65" ht="11.25" x14ac:dyDescent="0.2">
      <c r="A1022" s="57"/>
      <c r="B1022" s="57"/>
      <c r="C1022" s="57"/>
      <c r="D1022" s="57"/>
      <c r="E1022" s="57"/>
      <c r="F1022" s="57"/>
      <c r="G1022" s="57"/>
      <c r="H1022" s="57"/>
      <c r="I1022" s="57"/>
      <c r="J1022" s="57"/>
      <c r="L1022" s="57"/>
      <c r="M1022" s="57"/>
      <c r="N1022" s="57"/>
      <c r="O1022" s="57"/>
      <c r="P1022" s="57"/>
      <c r="Q1022" s="57"/>
      <c r="R1022" s="57"/>
      <c r="S1022" s="57"/>
      <c r="T1022" s="57"/>
      <c r="U1022" s="57"/>
      <c r="V1022" s="57"/>
      <c r="W1022" s="57"/>
      <c r="X1022" s="57"/>
      <c r="Y1022" s="98"/>
      <c r="AA1022" s="98"/>
      <c r="AR1022" s="98"/>
      <c r="AS1022" s="57"/>
      <c r="AU1022" s="57"/>
      <c r="BF1022" s="98"/>
      <c r="BG1022" s="98"/>
      <c r="BH1022" s="98"/>
      <c r="BI1022" s="98"/>
      <c r="BJ1022" s="98"/>
      <c r="BK1022" s="98"/>
      <c r="BL1022" s="98"/>
      <c r="BM1022" s="57"/>
    </row>
    <row r="1023" spans="1:65" ht="11.25" x14ac:dyDescent="0.2">
      <c r="A1023" s="57"/>
      <c r="B1023" s="57"/>
      <c r="C1023" s="57"/>
      <c r="D1023" s="57"/>
      <c r="E1023" s="57"/>
      <c r="F1023" s="57"/>
      <c r="G1023" s="57"/>
      <c r="H1023" s="57"/>
      <c r="I1023" s="57"/>
      <c r="J1023" s="57"/>
      <c r="L1023" s="57"/>
      <c r="M1023" s="57"/>
      <c r="N1023" s="57"/>
      <c r="O1023" s="57"/>
      <c r="P1023" s="57"/>
      <c r="Q1023" s="57"/>
      <c r="R1023" s="57"/>
      <c r="S1023" s="57"/>
      <c r="T1023" s="57"/>
      <c r="U1023" s="57"/>
      <c r="V1023" s="57"/>
      <c r="W1023" s="57"/>
      <c r="X1023" s="57"/>
      <c r="Y1023" s="98"/>
      <c r="AA1023" s="98"/>
      <c r="AR1023" s="98"/>
      <c r="AS1023" s="57"/>
      <c r="AU1023" s="57"/>
      <c r="BF1023" s="98"/>
      <c r="BG1023" s="98"/>
      <c r="BH1023" s="98"/>
      <c r="BI1023" s="98"/>
      <c r="BJ1023" s="98"/>
      <c r="BK1023" s="98"/>
      <c r="BL1023" s="98"/>
      <c r="BM1023" s="57"/>
    </row>
    <row r="1024" spans="1:65" ht="11.25" x14ac:dyDescent="0.2">
      <c r="A1024" s="57"/>
      <c r="B1024" s="57"/>
      <c r="C1024" s="57"/>
      <c r="D1024" s="57"/>
      <c r="E1024" s="57"/>
      <c r="F1024" s="57"/>
      <c r="G1024" s="57"/>
      <c r="H1024" s="57"/>
      <c r="I1024" s="57"/>
      <c r="J1024" s="57"/>
      <c r="L1024" s="57"/>
      <c r="M1024" s="57"/>
      <c r="N1024" s="57"/>
      <c r="O1024" s="57"/>
      <c r="P1024" s="57"/>
      <c r="Q1024" s="57"/>
      <c r="R1024" s="57"/>
      <c r="S1024" s="57"/>
      <c r="T1024" s="57"/>
      <c r="U1024" s="57"/>
      <c r="V1024" s="57"/>
      <c r="W1024" s="57"/>
      <c r="X1024" s="57"/>
      <c r="Y1024" s="98"/>
      <c r="AA1024" s="98"/>
      <c r="AR1024" s="98"/>
      <c r="AS1024" s="57"/>
      <c r="AU1024" s="57"/>
      <c r="BF1024" s="98"/>
      <c r="BG1024" s="98"/>
      <c r="BH1024" s="98"/>
      <c r="BI1024" s="98"/>
      <c r="BJ1024" s="98"/>
      <c r="BK1024" s="98"/>
      <c r="BL1024" s="98"/>
      <c r="BM1024" s="57"/>
    </row>
    <row r="1025" spans="1:65" ht="11.25" x14ac:dyDescent="0.2">
      <c r="A1025" s="57"/>
      <c r="B1025" s="57"/>
      <c r="C1025" s="57"/>
      <c r="D1025" s="57"/>
      <c r="E1025" s="57"/>
      <c r="F1025" s="57"/>
      <c r="G1025" s="57"/>
      <c r="H1025" s="57"/>
      <c r="I1025" s="57"/>
      <c r="J1025" s="57"/>
      <c r="L1025" s="57"/>
      <c r="M1025" s="57"/>
      <c r="N1025" s="57"/>
      <c r="O1025" s="57"/>
      <c r="P1025" s="57"/>
      <c r="Q1025" s="57"/>
      <c r="R1025" s="57"/>
      <c r="S1025" s="57"/>
      <c r="T1025" s="57"/>
      <c r="U1025" s="57"/>
      <c r="V1025" s="57"/>
      <c r="W1025" s="57"/>
      <c r="X1025" s="57"/>
      <c r="Y1025" s="98"/>
      <c r="AA1025" s="98"/>
      <c r="AR1025" s="98"/>
      <c r="AS1025" s="57"/>
      <c r="AU1025" s="57"/>
      <c r="BF1025" s="98"/>
      <c r="BG1025" s="98"/>
      <c r="BH1025" s="98"/>
      <c r="BI1025" s="98"/>
      <c r="BJ1025" s="98"/>
      <c r="BK1025" s="98"/>
      <c r="BL1025" s="98"/>
      <c r="BM1025" s="57"/>
    </row>
    <row r="1026" spans="1:65" ht="11.25" x14ac:dyDescent="0.2">
      <c r="A1026" s="57"/>
      <c r="B1026" s="57"/>
      <c r="C1026" s="57"/>
      <c r="D1026" s="57"/>
      <c r="E1026" s="57"/>
      <c r="F1026" s="57"/>
      <c r="G1026" s="57"/>
      <c r="H1026" s="57"/>
      <c r="I1026" s="57"/>
      <c r="J1026" s="57"/>
      <c r="L1026" s="57"/>
      <c r="M1026" s="57"/>
      <c r="N1026" s="57"/>
      <c r="O1026" s="57"/>
      <c r="P1026" s="57"/>
      <c r="Q1026" s="57"/>
      <c r="R1026" s="57"/>
      <c r="S1026" s="57"/>
      <c r="T1026" s="57"/>
      <c r="U1026" s="57"/>
      <c r="V1026" s="57"/>
      <c r="W1026" s="57"/>
      <c r="X1026" s="57"/>
      <c r="Y1026" s="98"/>
      <c r="AA1026" s="98"/>
      <c r="AR1026" s="98"/>
      <c r="AS1026" s="57"/>
      <c r="AU1026" s="57"/>
      <c r="BF1026" s="98"/>
      <c r="BG1026" s="98"/>
      <c r="BH1026" s="98"/>
      <c r="BI1026" s="98"/>
      <c r="BJ1026" s="98"/>
      <c r="BK1026" s="98"/>
      <c r="BL1026" s="98"/>
      <c r="BM1026" s="57"/>
    </row>
    <row r="1027" spans="1:65" ht="11.25" x14ac:dyDescent="0.2">
      <c r="A1027" s="57"/>
      <c r="B1027" s="57"/>
      <c r="C1027" s="57"/>
      <c r="D1027" s="57"/>
      <c r="E1027" s="57"/>
      <c r="F1027" s="57"/>
      <c r="G1027" s="57"/>
      <c r="H1027" s="57"/>
      <c r="I1027" s="57"/>
      <c r="J1027" s="57"/>
      <c r="L1027" s="57"/>
      <c r="M1027" s="57"/>
      <c r="N1027" s="57"/>
      <c r="O1027" s="57"/>
      <c r="P1027" s="57"/>
      <c r="Q1027" s="57"/>
      <c r="R1027" s="57"/>
      <c r="S1027" s="57"/>
      <c r="T1027" s="57"/>
      <c r="U1027" s="57"/>
      <c r="V1027" s="57"/>
      <c r="W1027" s="57"/>
      <c r="X1027" s="57"/>
      <c r="Y1027" s="98"/>
      <c r="AA1027" s="98"/>
      <c r="AR1027" s="98"/>
      <c r="AS1027" s="57"/>
      <c r="AU1027" s="57"/>
      <c r="BF1027" s="98"/>
      <c r="BG1027" s="98"/>
      <c r="BH1027" s="98"/>
      <c r="BI1027" s="98"/>
      <c r="BJ1027" s="98"/>
      <c r="BK1027" s="98"/>
      <c r="BL1027" s="98"/>
      <c r="BM1027" s="57"/>
    </row>
    <row r="1028" spans="1:65" ht="11.25" x14ac:dyDescent="0.2">
      <c r="A1028" s="57"/>
      <c r="B1028" s="57"/>
      <c r="C1028" s="57"/>
      <c r="D1028" s="57"/>
      <c r="E1028" s="57"/>
      <c r="F1028" s="57"/>
      <c r="G1028" s="57"/>
      <c r="H1028" s="57"/>
      <c r="I1028" s="57"/>
      <c r="J1028" s="57"/>
      <c r="L1028" s="57"/>
      <c r="M1028" s="57"/>
      <c r="N1028" s="57"/>
      <c r="O1028" s="57"/>
      <c r="P1028" s="57"/>
      <c r="Q1028" s="57"/>
      <c r="R1028" s="57"/>
      <c r="S1028" s="57"/>
      <c r="T1028" s="57"/>
      <c r="U1028" s="57"/>
      <c r="V1028" s="57"/>
      <c r="W1028" s="57"/>
      <c r="X1028" s="57"/>
      <c r="Y1028" s="98"/>
      <c r="AA1028" s="98"/>
      <c r="AR1028" s="98"/>
      <c r="AS1028" s="57"/>
      <c r="AU1028" s="57"/>
      <c r="BF1028" s="98"/>
      <c r="BG1028" s="98"/>
      <c r="BH1028" s="98"/>
      <c r="BI1028" s="98"/>
      <c r="BJ1028" s="98"/>
      <c r="BK1028" s="98"/>
      <c r="BL1028" s="98"/>
      <c r="BM1028" s="57"/>
    </row>
    <row r="1029" spans="1:65" ht="11.25" x14ac:dyDescent="0.2">
      <c r="A1029" s="57"/>
      <c r="B1029" s="57"/>
      <c r="C1029" s="57"/>
      <c r="D1029" s="57"/>
      <c r="E1029" s="57"/>
      <c r="F1029" s="57"/>
      <c r="G1029" s="57"/>
      <c r="H1029" s="57"/>
      <c r="I1029" s="57"/>
      <c r="J1029" s="57"/>
      <c r="L1029" s="57"/>
      <c r="M1029" s="57"/>
      <c r="N1029" s="57"/>
      <c r="O1029" s="57"/>
      <c r="P1029" s="57"/>
      <c r="Q1029" s="57"/>
      <c r="R1029" s="57"/>
      <c r="S1029" s="57"/>
      <c r="T1029" s="57"/>
      <c r="U1029" s="57"/>
      <c r="V1029" s="57"/>
      <c r="W1029" s="57"/>
      <c r="X1029" s="57"/>
      <c r="Y1029" s="98"/>
      <c r="AA1029" s="98"/>
      <c r="AR1029" s="98"/>
      <c r="AS1029" s="57"/>
      <c r="AU1029" s="57"/>
      <c r="BF1029" s="98"/>
      <c r="BG1029" s="98"/>
      <c r="BH1029" s="98"/>
      <c r="BI1029" s="98"/>
      <c r="BJ1029" s="98"/>
      <c r="BK1029" s="98"/>
      <c r="BL1029" s="98"/>
      <c r="BM1029" s="57"/>
    </row>
    <row r="1030" spans="1:65" ht="11.25" x14ac:dyDescent="0.2">
      <c r="A1030" s="57"/>
      <c r="B1030" s="57"/>
      <c r="C1030" s="57"/>
      <c r="D1030" s="57"/>
      <c r="E1030" s="57"/>
      <c r="F1030" s="57"/>
      <c r="G1030" s="57"/>
      <c r="H1030" s="57"/>
      <c r="I1030" s="57"/>
      <c r="J1030" s="57"/>
      <c r="L1030" s="57"/>
      <c r="M1030" s="57"/>
      <c r="N1030" s="57"/>
      <c r="O1030" s="57"/>
      <c r="P1030" s="57"/>
      <c r="Q1030" s="57"/>
      <c r="R1030" s="57"/>
      <c r="S1030" s="57"/>
      <c r="T1030" s="57"/>
      <c r="U1030" s="57"/>
      <c r="V1030" s="57"/>
      <c r="W1030" s="57"/>
      <c r="X1030" s="57"/>
      <c r="Y1030" s="98"/>
      <c r="AA1030" s="98"/>
      <c r="AR1030" s="98"/>
      <c r="AS1030" s="57"/>
      <c r="AU1030" s="57"/>
      <c r="BF1030" s="98"/>
      <c r="BG1030" s="98"/>
      <c r="BH1030" s="98"/>
      <c r="BI1030" s="98"/>
      <c r="BJ1030" s="98"/>
      <c r="BK1030" s="98"/>
      <c r="BL1030" s="98"/>
      <c r="BM1030" s="57"/>
    </row>
    <row r="1031" spans="1:65" ht="11.25" x14ac:dyDescent="0.2">
      <c r="A1031" s="57"/>
      <c r="B1031" s="57"/>
      <c r="C1031" s="57"/>
      <c r="D1031" s="57"/>
      <c r="E1031" s="57"/>
      <c r="F1031" s="57"/>
      <c r="G1031" s="57"/>
      <c r="H1031" s="57"/>
      <c r="I1031" s="57"/>
      <c r="J1031" s="57"/>
      <c r="L1031" s="57"/>
      <c r="M1031" s="57"/>
      <c r="N1031" s="57"/>
      <c r="O1031" s="57"/>
      <c r="P1031" s="57"/>
      <c r="Q1031" s="57"/>
      <c r="R1031" s="57"/>
      <c r="S1031" s="57"/>
      <c r="T1031" s="57"/>
      <c r="U1031" s="57"/>
      <c r="V1031" s="57"/>
      <c r="W1031" s="57"/>
      <c r="X1031" s="57"/>
      <c r="Y1031" s="98"/>
      <c r="AA1031" s="98"/>
      <c r="AR1031" s="98"/>
      <c r="AS1031" s="57"/>
      <c r="AU1031" s="57"/>
      <c r="BF1031" s="98"/>
      <c r="BG1031" s="98"/>
      <c r="BH1031" s="98"/>
      <c r="BI1031" s="98"/>
      <c r="BJ1031" s="98"/>
      <c r="BK1031" s="98"/>
      <c r="BL1031" s="98"/>
      <c r="BM1031" s="57"/>
    </row>
    <row r="1032" spans="1:65" ht="11.25" x14ac:dyDescent="0.2">
      <c r="A1032" s="57"/>
      <c r="B1032" s="57"/>
      <c r="C1032" s="57"/>
      <c r="D1032" s="57"/>
      <c r="E1032" s="57"/>
      <c r="F1032" s="57"/>
      <c r="G1032" s="57"/>
      <c r="H1032" s="57"/>
      <c r="I1032" s="57"/>
      <c r="J1032" s="57"/>
      <c r="L1032" s="57"/>
      <c r="M1032" s="57"/>
      <c r="N1032" s="57"/>
      <c r="O1032" s="57"/>
      <c r="P1032" s="57"/>
      <c r="Q1032" s="57"/>
      <c r="R1032" s="57"/>
      <c r="S1032" s="57"/>
      <c r="T1032" s="57"/>
      <c r="U1032" s="57"/>
      <c r="V1032" s="57"/>
      <c r="W1032" s="57"/>
      <c r="X1032" s="57"/>
      <c r="Y1032" s="98"/>
      <c r="AA1032" s="98"/>
      <c r="AR1032" s="98"/>
      <c r="AS1032" s="57"/>
      <c r="AU1032" s="57"/>
      <c r="BF1032" s="98"/>
      <c r="BG1032" s="98"/>
      <c r="BH1032" s="98"/>
      <c r="BI1032" s="98"/>
      <c r="BJ1032" s="98"/>
      <c r="BK1032" s="98"/>
      <c r="BL1032" s="98"/>
      <c r="BM1032" s="57"/>
    </row>
    <row r="1033" spans="1:65" ht="11.25" x14ac:dyDescent="0.2">
      <c r="A1033" s="57"/>
      <c r="B1033" s="57"/>
      <c r="C1033" s="57"/>
      <c r="D1033" s="57"/>
      <c r="E1033" s="57"/>
      <c r="F1033" s="57"/>
      <c r="G1033" s="57"/>
      <c r="H1033" s="57"/>
      <c r="I1033" s="57"/>
      <c r="J1033" s="57"/>
      <c r="L1033" s="57"/>
      <c r="M1033" s="57"/>
      <c r="N1033" s="57"/>
      <c r="O1033" s="57"/>
      <c r="P1033" s="57"/>
      <c r="Q1033" s="57"/>
      <c r="R1033" s="57"/>
      <c r="S1033" s="57"/>
      <c r="T1033" s="57"/>
      <c r="U1033" s="57"/>
      <c r="V1033" s="57"/>
      <c r="W1033" s="57"/>
      <c r="X1033" s="57"/>
      <c r="Y1033" s="98"/>
      <c r="AA1033" s="98"/>
      <c r="AR1033" s="98"/>
      <c r="AS1033" s="57"/>
      <c r="AU1033" s="57"/>
      <c r="BF1033" s="98"/>
      <c r="BG1033" s="98"/>
      <c r="BH1033" s="98"/>
      <c r="BI1033" s="98"/>
      <c r="BJ1033" s="98"/>
      <c r="BK1033" s="98"/>
      <c r="BL1033" s="98"/>
      <c r="BM1033" s="57"/>
    </row>
    <row r="1034" spans="1:65" ht="11.25" x14ac:dyDescent="0.2">
      <c r="A1034" s="57"/>
      <c r="B1034" s="57"/>
      <c r="C1034" s="57"/>
      <c r="D1034" s="57"/>
      <c r="E1034" s="57"/>
      <c r="F1034" s="57"/>
      <c r="G1034" s="57"/>
      <c r="H1034" s="57"/>
      <c r="I1034" s="57"/>
      <c r="J1034" s="57"/>
      <c r="L1034" s="57"/>
      <c r="M1034" s="57"/>
      <c r="N1034" s="57"/>
      <c r="O1034" s="57"/>
      <c r="P1034" s="57"/>
      <c r="Q1034" s="57"/>
      <c r="R1034" s="57"/>
      <c r="S1034" s="57"/>
      <c r="T1034" s="57"/>
      <c r="U1034" s="57"/>
      <c r="V1034" s="57"/>
      <c r="W1034" s="57"/>
      <c r="X1034" s="57"/>
      <c r="Y1034" s="98"/>
      <c r="AA1034" s="98"/>
      <c r="AR1034" s="98"/>
      <c r="AS1034" s="57"/>
      <c r="AU1034" s="57"/>
      <c r="BF1034" s="98"/>
      <c r="BG1034" s="98"/>
      <c r="BH1034" s="98"/>
      <c r="BI1034" s="98"/>
      <c r="BJ1034" s="98"/>
      <c r="BK1034" s="98"/>
      <c r="BL1034" s="98"/>
      <c r="BM1034" s="57"/>
    </row>
    <row r="1035" spans="1:65" ht="11.25" x14ac:dyDescent="0.2">
      <c r="A1035" s="57"/>
      <c r="B1035" s="57"/>
      <c r="C1035" s="57"/>
      <c r="D1035" s="57"/>
      <c r="E1035" s="57"/>
      <c r="F1035" s="57"/>
      <c r="G1035" s="57"/>
      <c r="H1035" s="57"/>
      <c r="I1035" s="57"/>
      <c r="J1035" s="57"/>
      <c r="L1035" s="57"/>
      <c r="M1035" s="57"/>
      <c r="N1035" s="57"/>
      <c r="O1035" s="57"/>
      <c r="P1035" s="57"/>
      <c r="Q1035" s="57"/>
      <c r="R1035" s="57"/>
      <c r="S1035" s="57"/>
      <c r="T1035" s="57"/>
      <c r="U1035" s="57"/>
      <c r="V1035" s="57"/>
      <c r="W1035" s="57"/>
      <c r="X1035" s="57"/>
      <c r="Y1035" s="98"/>
      <c r="AA1035" s="98"/>
      <c r="AR1035" s="98"/>
      <c r="AS1035" s="57"/>
      <c r="AU1035" s="57"/>
      <c r="BF1035" s="98"/>
      <c r="BG1035" s="98"/>
      <c r="BH1035" s="98"/>
      <c r="BI1035" s="98"/>
      <c r="BJ1035" s="98"/>
      <c r="BK1035" s="98"/>
      <c r="BL1035" s="98"/>
      <c r="BM1035" s="57"/>
    </row>
    <row r="1036" spans="1:65" ht="11.25" x14ac:dyDescent="0.2">
      <c r="A1036" s="57"/>
      <c r="B1036" s="57"/>
      <c r="C1036" s="57"/>
      <c r="D1036" s="57"/>
      <c r="E1036" s="57"/>
      <c r="F1036" s="57"/>
      <c r="G1036" s="57"/>
      <c r="H1036" s="57"/>
      <c r="I1036" s="57"/>
      <c r="J1036" s="57"/>
      <c r="L1036" s="57"/>
      <c r="M1036" s="57"/>
      <c r="N1036" s="57"/>
      <c r="O1036" s="57"/>
      <c r="P1036" s="57"/>
      <c r="Q1036" s="57"/>
      <c r="R1036" s="57"/>
      <c r="S1036" s="57"/>
      <c r="T1036" s="57"/>
      <c r="U1036" s="57"/>
      <c r="V1036" s="57"/>
      <c r="W1036" s="57"/>
      <c r="X1036" s="57"/>
      <c r="Y1036" s="98"/>
      <c r="AA1036" s="98"/>
      <c r="AR1036" s="98"/>
      <c r="AS1036" s="57"/>
      <c r="AU1036" s="57"/>
      <c r="BF1036" s="98"/>
      <c r="BG1036" s="98"/>
      <c r="BH1036" s="98"/>
      <c r="BI1036" s="98"/>
      <c r="BJ1036" s="98"/>
      <c r="BK1036" s="98"/>
      <c r="BL1036" s="98"/>
      <c r="BM1036" s="57"/>
    </row>
    <row r="1037" spans="1:65" ht="11.25" x14ac:dyDescent="0.2">
      <c r="A1037" s="57"/>
      <c r="B1037" s="57"/>
      <c r="C1037" s="57"/>
      <c r="D1037" s="57"/>
      <c r="E1037" s="57"/>
      <c r="F1037" s="57"/>
      <c r="G1037" s="57"/>
      <c r="H1037" s="57"/>
      <c r="I1037" s="57"/>
      <c r="J1037" s="57"/>
      <c r="L1037" s="57"/>
      <c r="M1037" s="57"/>
      <c r="N1037" s="57"/>
      <c r="O1037" s="57"/>
      <c r="P1037" s="57"/>
      <c r="Q1037" s="57"/>
      <c r="R1037" s="57"/>
      <c r="S1037" s="57"/>
      <c r="T1037" s="57"/>
      <c r="U1037" s="57"/>
      <c r="V1037" s="57"/>
      <c r="W1037" s="57"/>
      <c r="X1037" s="57"/>
      <c r="Y1037" s="98"/>
      <c r="AA1037" s="98"/>
      <c r="AR1037" s="98"/>
      <c r="AS1037" s="57"/>
      <c r="AU1037" s="57"/>
      <c r="BF1037" s="98"/>
      <c r="BG1037" s="98"/>
      <c r="BH1037" s="98"/>
      <c r="BI1037" s="98"/>
      <c r="BJ1037" s="98"/>
      <c r="BK1037" s="98"/>
      <c r="BL1037" s="98"/>
      <c r="BM1037" s="57"/>
    </row>
    <row r="1038" spans="1:65" ht="11.25" x14ac:dyDescent="0.2">
      <c r="A1038" s="57"/>
      <c r="B1038" s="57"/>
      <c r="C1038" s="57"/>
      <c r="D1038" s="57"/>
      <c r="E1038" s="57"/>
      <c r="F1038" s="57"/>
      <c r="G1038" s="57"/>
      <c r="H1038" s="57"/>
      <c r="I1038" s="57"/>
      <c r="J1038" s="57"/>
      <c r="L1038" s="57"/>
      <c r="M1038" s="57"/>
      <c r="N1038" s="57"/>
      <c r="O1038" s="57"/>
      <c r="P1038" s="57"/>
      <c r="Q1038" s="57"/>
      <c r="R1038" s="57"/>
      <c r="S1038" s="57"/>
      <c r="T1038" s="57"/>
      <c r="U1038" s="57"/>
      <c r="V1038" s="57"/>
      <c r="W1038" s="57"/>
      <c r="X1038" s="57"/>
      <c r="Y1038" s="98"/>
      <c r="AA1038" s="98"/>
      <c r="AR1038" s="98"/>
      <c r="AS1038" s="57"/>
      <c r="AU1038" s="57"/>
      <c r="BF1038" s="98"/>
      <c r="BG1038" s="98"/>
      <c r="BH1038" s="98"/>
      <c r="BI1038" s="98"/>
      <c r="BJ1038" s="98"/>
      <c r="BK1038" s="98"/>
      <c r="BL1038" s="98"/>
      <c r="BM1038" s="57"/>
    </row>
    <row r="1039" spans="1:65" ht="11.25" x14ac:dyDescent="0.2">
      <c r="A1039" s="57"/>
      <c r="B1039" s="57"/>
      <c r="C1039" s="57"/>
      <c r="D1039" s="57"/>
      <c r="E1039" s="57"/>
      <c r="F1039" s="57"/>
      <c r="G1039" s="57"/>
      <c r="H1039" s="57"/>
      <c r="I1039" s="57"/>
      <c r="J1039" s="57"/>
      <c r="L1039" s="57"/>
      <c r="M1039" s="57"/>
      <c r="N1039" s="57"/>
      <c r="O1039" s="57"/>
      <c r="P1039" s="57"/>
      <c r="Q1039" s="57"/>
      <c r="R1039" s="57"/>
      <c r="S1039" s="57"/>
      <c r="T1039" s="57"/>
      <c r="U1039" s="57"/>
      <c r="V1039" s="57"/>
      <c r="W1039" s="57"/>
      <c r="X1039" s="57"/>
      <c r="Y1039" s="98"/>
      <c r="AA1039" s="98"/>
      <c r="AR1039" s="98"/>
      <c r="AS1039" s="57"/>
      <c r="AU1039" s="57"/>
      <c r="BF1039" s="98"/>
      <c r="BG1039" s="98"/>
      <c r="BH1039" s="98"/>
      <c r="BI1039" s="98"/>
      <c r="BJ1039" s="98"/>
      <c r="BK1039" s="98"/>
      <c r="BL1039" s="98"/>
      <c r="BM1039" s="57"/>
    </row>
    <row r="1040" spans="1:65" ht="11.25" x14ac:dyDescent="0.2">
      <c r="A1040" s="57"/>
      <c r="B1040" s="57"/>
      <c r="C1040" s="57"/>
      <c r="D1040" s="57"/>
      <c r="E1040" s="57"/>
      <c r="F1040" s="57"/>
      <c r="G1040" s="57"/>
      <c r="H1040" s="57"/>
      <c r="I1040" s="57"/>
      <c r="J1040" s="57"/>
      <c r="L1040" s="57"/>
      <c r="M1040" s="57"/>
      <c r="N1040" s="57"/>
      <c r="O1040" s="57"/>
      <c r="P1040" s="57"/>
      <c r="Q1040" s="57"/>
      <c r="R1040" s="57"/>
      <c r="S1040" s="57"/>
      <c r="T1040" s="57"/>
      <c r="U1040" s="57"/>
      <c r="V1040" s="57"/>
      <c r="W1040" s="57"/>
      <c r="X1040" s="57"/>
      <c r="Y1040" s="98"/>
      <c r="AA1040" s="98"/>
      <c r="AR1040" s="98"/>
      <c r="AS1040" s="57"/>
      <c r="AU1040" s="57"/>
      <c r="BF1040" s="98"/>
      <c r="BG1040" s="98"/>
      <c r="BH1040" s="98"/>
      <c r="BI1040" s="98"/>
      <c r="BJ1040" s="98"/>
      <c r="BK1040" s="98"/>
      <c r="BL1040" s="98"/>
      <c r="BM1040" s="57"/>
    </row>
    <row r="1041" spans="1:65" ht="11.25" x14ac:dyDescent="0.2">
      <c r="A1041" s="57"/>
      <c r="B1041" s="57"/>
      <c r="C1041" s="57"/>
      <c r="D1041" s="57"/>
      <c r="E1041" s="57"/>
      <c r="F1041" s="57"/>
      <c r="G1041" s="57"/>
      <c r="H1041" s="57"/>
      <c r="I1041" s="57"/>
      <c r="J1041" s="57"/>
      <c r="L1041" s="57"/>
      <c r="M1041" s="57"/>
      <c r="N1041" s="57"/>
      <c r="O1041" s="57"/>
      <c r="P1041" s="57"/>
      <c r="Q1041" s="57"/>
      <c r="R1041" s="57"/>
      <c r="S1041" s="57"/>
      <c r="T1041" s="57"/>
      <c r="U1041" s="57"/>
      <c r="V1041" s="57"/>
      <c r="W1041" s="57"/>
      <c r="X1041" s="57"/>
      <c r="Y1041" s="98"/>
      <c r="AA1041" s="98"/>
      <c r="AR1041" s="98"/>
      <c r="AS1041" s="57"/>
      <c r="AU1041" s="57"/>
      <c r="BF1041" s="98"/>
      <c r="BG1041" s="98"/>
      <c r="BH1041" s="98"/>
      <c r="BI1041" s="98"/>
      <c r="BJ1041" s="98"/>
      <c r="BK1041" s="98"/>
      <c r="BL1041" s="98"/>
      <c r="BM1041" s="57"/>
    </row>
    <row r="1042" spans="1:65" ht="11.25" x14ac:dyDescent="0.2">
      <c r="A1042" s="57"/>
      <c r="B1042" s="57"/>
      <c r="C1042" s="57"/>
      <c r="D1042" s="57"/>
      <c r="E1042" s="57"/>
      <c r="F1042" s="57"/>
      <c r="G1042" s="57"/>
      <c r="H1042" s="57"/>
      <c r="I1042" s="57"/>
      <c r="J1042" s="57"/>
      <c r="L1042" s="57"/>
      <c r="M1042" s="57"/>
      <c r="N1042" s="57"/>
      <c r="O1042" s="57"/>
      <c r="P1042" s="57"/>
      <c r="Q1042" s="57"/>
      <c r="R1042" s="57"/>
      <c r="S1042" s="57"/>
      <c r="T1042" s="57"/>
      <c r="U1042" s="57"/>
      <c r="V1042" s="57"/>
      <c r="W1042" s="57"/>
      <c r="X1042" s="57"/>
      <c r="Y1042" s="98"/>
      <c r="AA1042" s="98"/>
      <c r="AR1042" s="98"/>
      <c r="AS1042" s="57"/>
      <c r="AU1042" s="57"/>
      <c r="BF1042" s="98"/>
      <c r="BG1042" s="98"/>
      <c r="BH1042" s="98"/>
      <c r="BI1042" s="98"/>
      <c r="BJ1042" s="98"/>
      <c r="BK1042" s="98"/>
      <c r="BL1042" s="98"/>
      <c r="BM1042" s="57"/>
    </row>
    <row r="1043" spans="1:65" ht="11.25" x14ac:dyDescent="0.2">
      <c r="A1043" s="57"/>
      <c r="B1043" s="57"/>
      <c r="C1043" s="57"/>
      <c r="D1043" s="57"/>
      <c r="E1043" s="57"/>
      <c r="F1043" s="57"/>
      <c r="G1043" s="57"/>
      <c r="H1043" s="57"/>
      <c r="I1043" s="57"/>
      <c r="J1043" s="57"/>
      <c r="L1043" s="57"/>
      <c r="M1043" s="57"/>
      <c r="N1043" s="57"/>
      <c r="O1043" s="57"/>
      <c r="P1043" s="57"/>
      <c r="Q1043" s="57"/>
      <c r="R1043" s="57"/>
      <c r="S1043" s="57"/>
      <c r="T1043" s="57"/>
      <c r="U1043" s="57"/>
      <c r="V1043" s="57"/>
      <c r="W1043" s="57"/>
      <c r="X1043" s="57"/>
      <c r="Y1043" s="98"/>
      <c r="AA1043" s="98"/>
      <c r="AR1043" s="98"/>
      <c r="AS1043" s="57"/>
      <c r="AU1043" s="57"/>
      <c r="BF1043" s="98"/>
      <c r="BG1043" s="98"/>
      <c r="BH1043" s="98"/>
      <c r="BI1043" s="98"/>
      <c r="BJ1043" s="98"/>
      <c r="BK1043" s="98"/>
      <c r="BL1043" s="98"/>
      <c r="BM1043" s="57"/>
    </row>
    <row r="1044" spans="1:65" ht="11.25" x14ac:dyDescent="0.2">
      <c r="A1044" s="57"/>
      <c r="B1044" s="57"/>
      <c r="C1044" s="57"/>
      <c r="D1044" s="57"/>
      <c r="E1044" s="57"/>
      <c r="F1044" s="57"/>
      <c r="G1044" s="57"/>
      <c r="H1044" s="57"/>
      <c r="I1044" s="57"/>
      <c r="J1044" s="57"/>
      <c r="L1044" s="57"/>
      <c r="M1044" s="57"/>
      <c r="N1044" s="57"/>
      <c r="O1044" s="57"/>
      <c r="P1044" s="57"/>
      <c r="Q1044" s="57"/>
      <c r="R1044" s="57"/>
      <c r="S1044" s="57"/>
      <c r="T1044" s="57"/>
      <c r="U1044" s="57"/>
      <c r="V1044" s="57"/>
      <c r="W1044" s="57"/>
      <c r="X1044" s="57"/>
      <c r="Y1044" s="98"/>
      <c r="AA1044" s="98"/>
      <c r="AR1044" s="98"/>
      <c r="AS1044" s="57"/>
      <c r="AU1044" s="57"/>
      <c r="BF1044" s="98"/>
      <c r="BG1044" s="98"/>
      <c r="BH1044" s="98"/>
      <c r="BI1044" s="98"/>
      <c r="BJ1044" s="98"/>
      <c r="BK1044" s="98"/>
      <c r="BL1044" s="98"/>
      <c r="BM1044" s="57"/>
    </row>
    <row r="1045" spans="1:65" ht="11.25" x14ac:dyDescent="0.2">
      <c r="A1045" s="57"/>
      <c r="B1045" s="57"/>
      <c r="C1045" s="57"/>
      <c r="D1045" s="57"/>
      <c r="E1045" s="57"/>
      <c r="F1045" s="57"/>
      <c r="G1045" s="57"/>
      <c r="H1045" s="57"/>
      <c r="I1045" s="57"/>
      <c r="J1045" s="57"/>
      <c r="L1045" s="57"/>
      <c r="M1045" s="57"/>
      <c r="N1045" s="57"/>
      <c r="O1045" s="57"/>
      <c r="P1045" s="57"/>
      <c r="Q1045" s="57"/>
      <c r="R1045" s="57"/>
      <c r="S1045" s="57"/>
      <c r="T1045" s="57"/>
      <c r="U1045" s="57"/>
      <c r="V1045" s="57"/>
      <c r="W1045" s="57"/>
      <c r="X1045" s="57"/>
      <c r="Y1045" s="98"/>
      <c r="AA1045" s="98"/>
      <c r="AR1045" s="98"/>
      <c r="AS1045" s="57"/>
      <c r="AU1045" s="57"/>
      <c r="BF1045" s="98"/>
      <c r="BG1045" s="98"/>
      <c r="BH1045" s="98"/>
      <c r="BI1045" s="98"/>
      <c r="BJ1045" s="98"/>
      <c r="BK1045" s="98"/>
      <c r="BL1045" s="98"/>
      <c r="BM1045" s="57"/>
    </row>
    <row r="1046" spans="1:65" ht="11.25" x14ac:dyDescent="0.2">
      <c r="A1046" s="57"/>
      <c r="B1046" s="57"/>
      <c r="C1046" s="57"/>
      <c r="D1046" s="57"/>
      <c r="E1046" s="57"/>
      <c r="F1046" s="57"/>
      <c r="G1046" s="57"/>
      <c r="H1046" s="57"/>
      <c r="I1046" s="57"/>
      <c r="J1046" s="57"/>
      <c r="L1046" s="57"/>
      <c r="M1046" s="57"/>
      <c r="N1046" s="57"/>
      <c r="O1046" s="57"/>
      <c r="P1046" s="57"/>
      <c r="Q1046" s="57"/>
      <c r="R1046" s="57"/>
      <c r="S1046" s="57"/>
      <c r="T1046" s="57"/>
      <c r="U1046" s="57"/>
      <c r="V1046" s="57"/>
      <c r="W1046" s="57"/>
      <c r="X1046" s="57"/>
      <c r="Y1046" s="98"/>
      <c r="AA1046" s="98"/>
      <c r="AR1046" s="98"/>
      <c r="AS1046" s="57"/>
      <c r="AU1046" s="57"/>
      <c r="BF1046" s="98"/>
      <c r="BG1046" s="98"/>
      <c r="BH1046" s="98"/>
      <c r="BI1046" s="98"/>
      <c r="BJ1046" s="98"/>
      <c r="BK1046" s="98"/>
      <c r="BL1046" s="98"/>
      <c r="BM1046" s="57"/>
    </row>
    <row r="1047" spans="1:65" ht="11.25" x14ac:dyDescent="0.2">
      <c r="A1047" s="57"/>
      <c r="B1047" s="57"/>
      <c r="C1047" s="57"/>
      <c r="D1047" s="57"/>
      <c r="E1047" s="57"/>
      <c r="F1047" s="57"/>
      <c r="G1047" s="57"/>
      <c r="H1047" s="57"/>
      <c r="I1047" s="57"/>
      <c r="J1047" s="57"/>
      <c r="L1047" s="57"/>
      <c r="M1047" s="57"/>
      <c r="N1047" s="57"/>
      <c r="O1047" s="57"/>
      <c r="P1047" s="57"/>
      <c r="Q1047" s="57"/>
      <c r="R1047" s="57"/>
      <c r="S1047" s="57"/>
      <c r="T1047" s="57"/>
      <c r="U1047" s="57"/>
      <c r="V1047" s="57"/>
      <c r="W1047" s="57"/>
      <c r="X1047" s="57"/>
      <c r="Y1047" s="98"/>
      <c r="AA1047" s="98"/>
      <c r="AR1047" s="98"/>
      <c r="AS1047" s="57"/>
      <c r="AU1047" s="57"/>
      <c r="BF1047" s="98"/>
      <c r="BG1047" s="98"/>
      <c r="BH1047" s="98"/>
      <c r="BI1047" s="98"/>
      <c r="BJ1047" s="98"/>
      <c r="BK1047" s="98"/>
      <c r="BL1047" s="98"/>
      <c r="BM1047" s="57"/>
    </row>
    <row r="1048" spans="1:65" ht="11.25" x14ac:dyDescent="0.2">
      <c r="A1048" s="57"/>
      <c r="B1048" s="57"/>
      <c r="C1048" s="57"/>
      <c r="D1048" s="57"/>
      <c r="E1048" s="57"/>
      <c r="F1048" s="57"/>
      <c r="G1048" s="57"/>
      <c r="H1048" s="57"/>
      <c r="I1048" s="57"/>
      <c r="J1048" s="57"/>
      <c r="L1048" s="57"/>
      <c r="M1048" s="57"/>
      <c r="N1048" s="57"/>
      <c r="O1048" s="57"/>
      <c r="P1048" s="57"/>
      <c r="Q1048" s="57"/>
      <c r="R1048" s="57"/>
      <c r="S1048" s="57"/>
      <c r="T1048" s="57"/>
      <c r="U1048" s="57"/>
      <c r="V1048" s="57"/>
      <c r="W1048" s="57"/>
      <c r="X1048" s="57"/>
      <c r="Y1048" s="98"/>
      <c r="AA1048" s="98"/>
      <c r="AR1048" s="98"/>
      <c r="AS1048" s="57"/>
      <c r="AU1048" s="57"/>
      <c r="BF1048" s="98"/>
      <c r="BG1048" s="98"/>
      <c r="BH1048" s="98"/>
      <c r="BI1048" s="98"/>
      <c r="BJ1048" s="98"/>
      <c r="BK1048" s="98"/>
      <c r="BL1048" s="98"/>
      <c r="BM1048" s="57"/>
    </row>
    <row r="1049" spans="1:65" ht="11.25" x14ac:dyDescent="0.2">
      <c r="A1049" s="57"/>
      <c r="B1049" s="57"/>
      <c r="C1049" s="57"/>
      <c r="D1049" s="57"/>
      <c r="E1049" s="57"/>
      <c r="F1049" s="57"/>
      <c r="G1049" s="57"/>
      <c r="H1049" s="57"/>
      <c r="I1049" s="57"/>
      <c r="J1049" s="57"/>
      <c r="L1049" s="57"/>
      <c r="M1049" s="57"/>
      <c r="N1049" s="57"/>
      <c r="O1049" s="57"/>
      <c r="P1049" s="57"/>
      <c r="Q1049" s="57"/>
      <c r="R1049" s="57"/>
      <c r="S1049" s="57"/>
      <c r="T1049" s="57"/>
      <c r="U1049" s="57"/>
      <c r="V1049" s="57"/>
      <c r="W1049" s="57"/>
      <c r="X1049" s="57"/>
      <c r="Y1049" s="98"/>
      <c r="AA1049" s="98"/>
      <c r="AR1049" s="98"/>
      <c r="AS1049" s="57"/>
      <c r="AU1049" s="57"/>
      <c r="BF1049" s="98"/>
      <c r="BG1049" s="98"/>
      <c r="BH1049" s="98"/>
      <c r="BI1049" s="98"/>
      <c r="BJ1049" s="98"/>
      <c r="BK1049" s="98"/>
      <c r="BL1049" s="98"/>
      <c r="BM1049" s="57"/>
    </row>
    <row r="1050" spans="1:65" ht="11.25" x14ac:dyDescent="0.2">
      <c r="A1050" s="57"/>
      <c r="B1050" s="57"/>
      <c r="C1050" s="57"/>
      <c r="D1050" s="57"/>
      <c r="E1050" s="57"/>
      <c r="F1050" s="57"/>
      <c r="G1050" s="57"/>
      <c r="H1050" s="57"/>
      <c r="I1050" s="57"/>
      <c r="J1050" s="57"/>
      <c r="L1050" s="57"/>
      <c r="M1050" s="57"/>
      <c r="N1050" s="57"/>
      <c r="O1050" s="57"/>
      <c r="P1050" s="57"/>
      <c r="Q1050" s="57"/>
      <c r="R1050" s="57"/>
      <c r="S1050" s="57"/>
      <c r="T1050" s="57"/>
      <c r="U1050" s="57"/>
      <c r="V1050" s="57"/>
      <c r="W1050" s="57"/>
      <c r="X1050" s="57"/>
      <c r="Y1050" s="98"/>
      <c r="AA1050" s="98"/>
      <c r="AR1050" s="98"/>
      <c r="AS1050" s="57"/>
      <c r="AU1050" s="57"/>
      <c r="BF1050" s="98"/>
      <c r="BG1050" s="98"/>
      <c r="BH1050" s="98"/>
      <c r="BI1050" s="98"/>
      <c r="BJ1050" s="98"/>
      <c r="BK1050" s="98"/>
      <c r="BL1050" s="98"/>
      <c r="BM1050" s="57"/>
    </row>
    <row r="1051" spans="1:65" ht="11.25" x14ac:dyDescent="0.2">
      <c r="A1051" s="57"/>
      <c r="B1051" s="57"/>
      <c r="C1051" s="57"/>
      <c r="D1051" s="57"/>
      <c r="E1051" s="57"/>
      <c r="F1051" s="57"/>
      <c r="G1051" s="57"/>
      <c r="H1051" s="57"/>
      <c r="I1051" s="57"/>
      <c r="J1051" s="57"/>
      <c r="L1051" s="57"/>
      <c r="M1051" s="57"/>
      <c r="N1051" s="57"/>
      <c r="O1051" s="57"/>
      <c r="P1051" s="57"/>
      <c r="Q1051" s="57"/>
      <c r="R1051" s="57"/>
      <c r="S1051" s="57"/>
      <c r="T1051" s="57"/>
      <c r="U1051" s="57"/>
      <c r="V1051" s="57"/>
      <c r="W1051" s="57"/>
      <c r="X1051" s="57"/>
      <c r="Y1051" s="98"/>
      <c r="AA1051" s="98"/>
      <c r="AR1051" s="98"/>
      <c r="AS1051" s="57"/>
      <c r="AU1051" s="57"/>
      <c r="BF1051" s="98"/>
      <c r="BG1051" s="98"/>
      <c r="BH1051" s="98"/>
      <c r="BI1051" s="98"/>
      <c r="BJ1051" s="98"/>
      <c r="BK1051" s="98"/>
      <c r="BL1051" s="98"/>
      <c r="BM1051" s="57"/>
    </row>
    <row r="1052" spans="1:65" ht="11.25" x14ac:dyDescent="0.2">
      <c r="A1052" s="57"/>
      <c r="B1052" s="57"/>
      <c r="C1052" s="57"/>
      <c r="D1052" s="57"/>
      <c r="E1052" s="57"/>
      <c r="F1052" s="57"/>
      <c r="G1052" s="57"/>
      <c r="H1052" s="57"/>
      <c r="I1052" s="57"/>
      <c r="J1052" s="57"/>
      <c r="L1052" s="57"/>
      <c r="M1052" s="57"/>
      <c r="N1052" s="57"/>
      <c r="O1052" s="57"/>
      <c r="P1052" s="57"/>
      <c r="Q1052" s="57"/>
      <c r="R1052" s="57"/>
      <c r="S1052" s="57"/>
      <c r="T1052" s="57"/>
      <c r="U1052" s="57"/>
      <c r="V1052" s="57"/>
      <c r="W1052" s="57"/>
      <c r="X1052" s="57"/>
      <c r="Y1052" s="98"/>
      <c r="AA1052" s="98"/>
      <c r="AR1052" s="98"/>
      <c r="AS1052" s="57"/>
      <c r="AU1052" s="57"/>
      <c r="BF1052" s="98"/>
      <c r="BG1052" s="98"/>
      <c r="BH1052" s="98"/>
      <c r="BI1052" s="98"/>
      <c r="BJ1052" s="98"/>
      <c r="BK1052" s="98"/>
      <c r="BL1052" s="98"/>
      <c r="BM1052" s="57"/>
    </row>
    <row r="1053" spans="1:65" ht="11.25" x14ac:dyDescent="0.2">
      <c r="A1053" s="57"/>
      <c r="B1053" s="57"/>
      <c r="C1053" s="57"/>
      <c r="D1053" s="57"/>
      <c r="E1053" s="57"/>
      <c r="F1053" s="57"/>
      <c r="G1053" s="57"/>
      <c r="H1053" s="57"/>
      <c r="I1053" s="57"/>
      <c r="J1053" s="57"/>
      <c r="L1053" s="57"/>
      <c r="M1053" s="57"/>
      <c r="N1053" s="57"/>
      <c r="O1053" s="57"/>
      <c r="P1053" s="57"/>
      <c r="Q1053" s="57"/>
      <c r="R1053" s="57"/>
      <c r="S1053" s="57"/>
      <c r="T1053" s="57"/>
      <c r="U1053" s="57"/>
      <c r="V1053" s="57"/>
      <c r="W1053" s="57"/>
      <c r="X1053" s="57"/>
      <c r="Y1053" s="98"/>
      <c r="AA1053" s="98"/>
      <c r="AR1053" s="98"/>
      <c r="AS1053" s="57"/>
      <c r="AU1053" s="57"/>
      <c r="BF1053" s="98"/>
      <c r="BG1053" s="98"/>
      <c r="BH1053" s="98"/>
      <c r="BI1053" s="98"/>
      <c r="BJ1053" s="98"/>
      <c r="BK1053" s="98"/>
      <c r="BL1053" s="98"/>
      <c r="BM1053" s="57"/>
    </row>
    <row r="1054" spans="1:65" ht="11.25" x14ac:dyDescent="0.2">
      <c r="A1054" s="57"/>
      <c r="B1054" s="57"/>
      <c r="C1054" s="57"/>
      <c r="D1054" s="57"/>
      <c r="E1054" s="57"/>
      <c r="F1054" s="57"/>
      <c r="G1054" s="57"/>
      <c r="H1054" s="57"/>
      <c r="I1054" s="57"/>
      <c r="J1054" s="57"/>
      <c r="L1054" s="57"/>
      <c r="M1054" s="57"/>
      <c r="N1054" s="57"/>
      <c r="O1054" s="57"/>
      <c r="P1054" s="57"/>
      <c r="Q1054" s="57"/>
      <c r="R1054" s="57"/>
      <c r="S1054" s="57"/>
      <c r="T1054" s="57"/>
      <c r="U1054" s="57"/>
      <c r="V1054" s="57"/>
      <c r="W1054" s="57"/>
      <c r="X1054" s="57"/>
      <c r="Y1054" s="98"/>
      <c r="AA1054" s="98"/>
      <c r="AR1054" s="98"/>
      <c r="AS1054" s="57"/>
      <c r="AU1054" s="57"/>
      <c r="BF1054" s="98"/>
      <c r="BG1054" s="98"/>
      <c r="BH1054" s="98"/>
      <c r="BI1054" s="98"/>
      <c r="BJ1054" s="98"/>
      <c r="BK1054" s="98"/>
      <c r="BL1054" s="98"/>
      <c r="BM1054" s="57"/>
    </row>
    <row r="1055" spans="1:65" ht="11.25" x14ac:dyDescent="0.2">
      <c r="A1055" s="57"/>
      <c r="B1055" s="57"/>
      <c r="C1055" s="57"/>
      <c r="D1055" s="57"/>
      <c r="E1055" s="57"/>
      <c r="F1055" s="57"/>
      <c r="G1055" s="57"/>
      <c r="H1055" s="57"/>
      <c r="I1055" s="57"/>
      <c r="J1055" s="57"/>
      <c r="L1055" s="57"/>
      <c r="M1055" s="57"/>
      <c r="N1055" s="57"/>
      <c r="O1055" s="57"/>
      <c r="P1055" s="57"/>
      <c r="Q1055" s="57"/>
      <c r="R1055" s="57"/>
      <c r="S1055" s="57"/>
      <c r="T1055" s="57"/>
      <c r="U1055" s="57"/>
      <c r="V1055" s="57"/>
      <c r="W1055" s="57"/>
      <c r="X1055" s="57"/>
      <c r="Y1055" s="98"/>
      <c r="AA1055" s="98"/>
      <c r="AR1055" s="98"/>
      <c r="AS1055" s="57"/>
      <c r="AU1055" s="57"/>
      <c r="BF1055" s="98"/>
      <c r="BG1055" s="98"/>
      <c r="BH1055" s="98"/>
      <c r="BI1055" s="98"/>
      <c r="BJ1055" s="98"/>
      <c r="BK1055" s="98"/>
      <c r="BL1055" s="98"/>
      <c r="BM1055" s="57"/>
    </row>
    <row r="1056" spans="1:65" ht="11.25" x14ac:dyDescent="0.2">
      <c r="A1056" s="57"/>
      <c r="B1056" s="57"/>
      <c r="C1056" s="57"/>
      <c r="D1056" s="57"/>
      <c r="E1056" s="57"/>
      <c r="F1056" s="57"/>
      <c r="G1056" s="57"/>
      <c r="H1056" s="57"/>
      <c r="I1056" s="57"/>
      <c r="J1056" s="57"/>
      <c r="L1056" s="57"/>
      <c r="M1056" s="57"/>
      <c r="N1056" s="57"/>
      <c r="O1056" s="57"/>
      <c r="P1056" s="57"/>
      <c r="Q1056" s="57"/>
      <c r="R1056" s="57"/>
      <c r="S1056" s="57"/>
      <c r="T1056" s="57"/>
      <c r="U1056" s="57"/>
      <c r="V1056" s="57"/>
      <c r="W1056" s="57"/>
      <c r="X1056" s="57"/>
      <c r="Y1056" s="98"/>
      <c r="AA1056" s="98"/>
      <c r="AR1056" s="98"/>
      <c r="AS1056" s="57"/>
      <c r="AU1056" s="57"/>
      <c r="BF1056" s="98"/>
      <c r="BG1056" s="98"/>
      <c r="BH1056" s="98"/>
      <c r="BI1056" s="98"/>
      <c r="BJ1056" s="98"/>
      <c r="BK1056" s="98"/>
      <c r="BL1056" s="98"/>
      <c r="BM1056" s="57"/>
    </row>
    <row r="1057" spans="1:65" ht="11.25" x14ac:dyDescent="0.2">
      <c r="A1057" s="57"/>
      <c r="B1057" s="57"/>
      <c r="C1057" s="57"/>
      <c r="D1057" s="57"/>
      <c r="E1057" s="57"/>
      <c r="F1057" s="57"/>
      <c r="G1057" s="57"/>
      <c r="H1057" s="57"/>
      <c r="I1057" s="57"/>
      <c r="J1057" s="57"/>
      <c r="L1057" s="57"/>
      <c r="M1057" s="57"/>
      <c r="N1057" s="57"/>
      <c r="O1057" s="57"/>
      <c r="P1057" s="57"/>
      <c r="Q1057" s="57"/>
      <c r="R1057" s="57"/>
      <c r="S1057" s="57"/>
      <c r="T1057" s="57"/>
      <c r="U1057" s="57"/>
      <c r="V1057" s="57"/>
      <c r="W1057" s="57"/>
      <c r="X1057" s="57"/>
      <c r="Y1057" s="98"/>
      <c r="AA1057" s="98"/>
      <c r="AR1057" s="98"/>
      <c r="AS1057" s="57"/>
      <c r="AU1057" s="57"/>
      <c r="BF1057" s="98"/>
      <c r="BG1057" s="98"/>
      <c r="BH1057" s="98"/>
      <c r="BI1057" s="98"/>
      <c r="BJ1057" s="98"/>
      <c r="BK1057" s="98"/>
      <c r="BL1057" s="98"/>
      <c r="BM1057" s="57"/>
    </row>
    <row r="1058" spans="1:65" ht="11.25" x14ac:dyDescent="0.2">
      <c r="A1058" s="57"/>
      <c r="B1058" s="57"/>
      <c r="C1058" s="57"/>
      <c r="D1058" s="57"/>
      <c r="E1058" s="57"/>
      <c r="F1058" s="57"/>
      <c r="G1058" s="57"/>
      <c r="H1058" s="57"/>
      <c r="I1058" s="57"/>
      <c r="J1058" s="57"/>
      <c r="L1058" s="57"/>
      <c r="M1058" s="57"/>
      <c r="N1058" s="57"/>
      <c r="O1058" s="57"/>
      <c r="P1058" s="57"/>
      <c r="Q1058" s="57"/>
      <c r="R1058" s="57"/>
      <c r="S1058" s="57"/>
      <c r="T1058" s="57"/>
      <c r="U1058" s="57"/>
      <c r="V1058" s="57"/>
      <c r="W1058" s="57"/>
      <c r="X1058" s="57"/>
      <c r="Y1058" s="98"/>
      <c r="AA1058" s="98"/>
      <c r="AR1058" s="98"/>
      <c r="AS1058" s="57"/>
      <c r="AU1058" s="57"/>
      <c r="BF1058" s="98"/>
      <c r="BG1058" s="98"/>
      <c r="BH1058" s="98"/>
      <c r="BI1058" s="98"/>
      <c r="BJ1058" s="98"/>
      <c r="BK1058" s="98"/>
      <c r="BL1058" s="98"/>
      <c r="BM1058" s="57"/>
    </row>
    <row r="1059" spans="1:65" ht="11.25" x14ac:dyDescent="0.2">
      <c r="A1059" s="57"/>
      <c r="B1059" s="57"/>
      <c r="C1059" s="57"/>
      <c r="D1059" s="57"/>
      <c r="E1059" s="57"/>
      <c r="F1059" s="57"/>
      <c r="G1059" s="57"/>
      <c r="H1059" s="57"/>
      <c r="I1059" s="57"/>
      <c r="J1059" s="57"/>
      <c r="L1059" s="57"/>
      <c r="M1059" s="57"/>
      <c r="N1059" s="57"/>
      <c r="O1059" s="57"/>
      <c r="P1059" s="57"/>
      <c r="Q1059" s="57"/>
      <c r="R1059" s="57"/>
      <c r="S1059" s="57"/>
      <c r="T1059" s="57"/>
      <c r="U1059" s="57"/>
      <c r="V1059" s="57"/>
      <c r="W1059" s="57"/>
      <c r="X1059" s="57"/>
      <c r="Y1059" s="98"/>
      <c r="AA1059" s="98"/>
      <c r="AR1059" s="98"/>
      <c r="AS1059" s="57"/>
      <c r="AU1059" s="57"/>
      <c r="BF1059" s="98"/>
      <c r="BG1059" s="98"/>
      <c r="BH1059" s="98"/>
      <c r="BI1059" s="98"/>
      <c r="BJ1059" s="98"/>
      <c r="BK1059" s="98"/>
      <c r="BL1059" s="98"/>
      <c r="BM1059" s="57"/>
    </row>
    <row r="1060" spans="1:65" ht="11.25" x14ac:dyDescent="0.2">
      <c r="A1060" s="57"/>
      <c r="B1060" s="57"/>
      <c r="C1060" s="57"/>
      <c r="D1060" s="57"/>
      <c r="E1060" s="57"/>
      <c r="F1060" s="57"/>
      <c r="G1060" s="57"/>
      <c r="H1060" s="57"/>
      <c r="I1060" s="57"/>
      <c r="J1060" s="57"/>
      <c r="L1060" s="57"/>
      <c r="M1060" s="57"/>
      <c r="N1060" s="57"/>
      <c r="O1060" s="57"/>
      <c r="P1060" s="57"/>
      <c r="Q1060" s="57"/>
      <c r="R1060" s="57"/>
      <c r="S1060" s="57"/>
      <c r="T1060" s="57"/>
      <c r="U1060" s="57"/>
      <c r="V1060" s="57"/>
      <c r="W1060" s="57"/>
      <c r="X1060" s="57"/>
      <c r="Y1060" s="98"/>
      <c r="AA1060" s="98"/>
      <c r="AR1060" s="98"/>
      <c r="AS1060" s="57"/>
      <c r="AU1060" s="57"/>
      <c r="BF1060" s="98"/>
      <c r="BG1060" s="98"/>
      <c r="BH1060" s="98"/>
      <c r="BI1060" s="98"/>
      <c r="BJ1060" s="98"/>
      <c r="BK1060" s="98"/>
      <c r="BL1060" s="98"/>
      <c r="BM1060" s="57"/>
    </row>
    <row r="1061" spans="1:65" ht="11.25" x14ac:dyDescent="0.2">
      <c r="A1061" s="57"/>
      <c r="B1061" s="57"/>
      <c r="C1061" s="57"/>
      <c r="D1061" s="57"/>
      <c r="E1061" s="57"/>
      <c r="F1061" s="57"/>
      <c r="G1061" s="57"/>
      <c r="H1061" s="57"/>
      <c r="I1061" s="57"/>
      <c r="J1061" s="57"/>
      <c r="L1061" s="57"/>
      <c r="M1061" s="57"/>
      <c r="N1061" s="57"/>
      <c r="O1061" s="57"/>
      <c r="P1061" s="57"/>
      <c r="Q1061" s="57"/>
      <c r="R1061" s="57"/>
      <c r="S1061" s="57"/>
      <c r="T1061" s="57"/>
      <c r="U1061" s="57"/>
      <c r="V1061" s="57"/>
      <c r="W1061" s="57"/>
      <c r="X1061" s="57"/>
      <c r="Y1061" s="98"/>
      <c r="AA1061" s="98"/>
      <c r="AR1061" s="98"/>
      <c r="AS1061" s="57"/>
      <c r="AU1061" s="57"/>
      <c r="BF1061" s="98"/>
      <c r="BG1061" s="98"/>
      <c r="BH1061" s="98"/>
      <c r="BI1061" s="98"/>
      <c r="BJ1061" s="98"/>
      <c r="BK1061" s="98"/>
      <c r="BL1061" s="98"/>
      <c r="BM1061" s="57"/>
    </row>
    <row r="1062" spans="1:65" ht="11.25" x14ac:dyDescent="0.2">
      <c r="A1062" s="57"/>
      <c r="B1062" s="57"/>
      <c r="C1062" s="57"/>
      <c r="D1062" s="57"/>
      <c r="E1062" s="57"/>
      <c r="F1062" s="57"/>
      <c r="G1062" s="57"/>
      <c r="H1062" s="57"/>
      <c r="I1062" s="57"/>
      <c r="J1062" s="57"/>
      <c r="L1062" s="57"/>
      <c r="M1062" s="57"/>
      <c r="N1062" s="57"/>
      <c r="O1062" s="57"/>
      <c r="P1062" s="57"/>
      <c r="Q1062" s="57"/>
      <c r="R1062" s="57"/>
      <c r="S1062" s="57"/>
      <c r="T1062" s="57"/>
      <c r="U1062" s="57"/>
      <c r="V1062" s="57"/>
      <c r="W1062" s="57"/>
      <c r="X1062" s="57"/>
      <c r="Y1062" s="98"/>
      <c r="AA1062" s="98"/>
      <c r="AR1062" s="98"/>
      <c r="AS1062" s="57"/>
      <c r="AU1062" s="57"/>
      <c r="BF1062" s="98"/>
      <c r="BG1062" s="98"/>
      <c r="BH1062" s="98"/>
      <c r="BI1062" s="98"/>
      <c r="BJ1062" s="98"/>
      <c r="BK1062" s="98"/>
      <c r="BL1062" s="98"/>
      <c r="BM1062" s="57"/>
    </row>
    <row r="1063" spans="1:65" ht="11.25" x14ac:dyDescent="0.2">
      <c r="A1063" s="57"/>
      <c r="B1063" s="57"/>
      <c r="C1063" s="57"/>
      <c r="D1063" s="57"/>
      <c r="E1063" s="57"/>
      <c r="F1063" s="57"/>
      <c r="G1063" s="57"/>
      <c r="H1063" s="57"/>
      <c r="I1063" s="57"/>
      <c r="J1063" s="57"/>
      <c r="L1063" s="57"/>
      <c r="M1063" s="57"/>
      <c r="N1063" s="57"/>
      <c r="O1063" s="57"/>
      <c r="P1063" s="57"/>
      <c r="Q1063" s="57"/>
      <c r="R1063" s="57"/>
      <c r="S1063" s="57"/>
      <c r="T1063" s="57"/>
      <c r="U1063" s="57"/>
      <c r="V1063" s="57"/>
      <c r="W1063" s="57"/>
      <c r="X1063" s="57"/>
      <c r="Y1063" s="98"/>
      <c r="AA1063" s="98"/>
      <c r="AR1063" s="98"/>
      <c r="AS1063" s="57"/>
      <c r="AU1063" s="57"/>
      <c r="BF1063" s="98"/>
      <c r="BG1063" s="98"/>
      <c r="BH1063" s="98"/>
      <c r="BI1063" s="98"/>
      <c r="BJ1063" s="98"/>
      <c r="BK1063" s="98"/>
      <c r="BL1063" s="98"/>
      <c r="BM1063" s="57"/>
    </row>
    <row r="1064" spans="1:65" ht="11.25" x14ac:dyDescent="0.2">
      <c r="A1064" s="57"/>
      <c r="B1064" s="57"/>
      <c r="C1064" s="57"/>
      <c r="D1064" s="57"/>
      <c r="E1064" s="57"/>
      <c r="F1064" s="57"/>
      <c r="G1064" s="57"/>
      <c r="H1064" s="57"/>
      <c r="I1064" s="57"/>
      <c r="J1064" s="57"/>
      <c r="L1064" s="57"/>
      <c r="M1064" s="57"/>
      <c r="N1064" s="57"/>
      <c r="O1064" s="57"/>
      <c r="P1064" s="57"/>
      <c r="Q1064" s="57"/>
      <c r="R1064" s="57"/>
      <c r="S1064" s="57"/>
      <c r="T1064" s="57"/>
      <c r="U1064" s="57"/>
      <c r="V1064" s="57"/>
      <c r="W1064" s="57"/>
      <c r="X1064" s="57"/>
      <c r="Y1064" s="98"/>
      <c r="AA1064" s="98"/>
      <c r="AR1064" s="98"/>
      <c r="AS1064" s="57"/>
      <c r="AU1064" s="57"/>
      <c r="BF1064" s="98"/>
      <c r="BG1064" s="98"/>
      <c r="BH1064" s="98"/>
      <c r="BI1064" s="98"/>
      <c r="BJ1064" s="98"/>
      <c r="BK1064" s="98"/>
      <c r="BL1064" s="98"/>
      <c r="BM1064" s="57"/>
    </row>
    <row r="1065" spans="1:65" ht="11.25" x14ac:dyDescent="0.2">
      <c r="A1065" s="57"/>
      <c r="B1065" s="57"/>
      <c r="C1065" s="57"/>
      <c r="D1065" s="57"/>
      <c r="E1065" s="57"/>
      <c r="F1065" s="57"/>
      <c r="G1065" s="57"/>
      <c r="H1065" s="57"/>
      <c r="I1065" s="57"/>
      <c r="J1065" s="57"/>
      <c r="L1065" s="57"/>
      <c r="M1065" s="57"/>
      <c r="N1065" s="57"/>
      <c r="O1065" s="57"/>
      <c r="P1065" s="57"/>
      <c r="Q1065" s="57"/>
      <c r="R1065" s="57"/>
      <c r="S1065" s="57"/>
      <c r="T1065" s="57"/>
      <c r="U1065" s="57"/>
      <c r="V1065" s="57"/>
      <c r="W1065" s="57"/>
      <c r="X1065" s="57"/>
      <c r="Y1065" s="98"/>
      <c r="AA1065" s="98"/>
      <c r="AR1065" s="98"/>
      <c r="AS1065" s="57"/>
      <c r="AU1065" s="57"/>
      <c r="BF1065" s="98"/>
      <c r="BG1065" s="98"/>
      <c r="BH1065" s="98"/>
      <c r="BI1065" s="98"/>
      <c r="BJ1065" s="98"/>
      <c r="BK1065" s="98"/>
      <c r="BL1065" s="98"/>
      <c r="BM1065" s="57"/>
    </row>
    <row r="1066" spans="1:65" ht="11.25" x14ac:dyDescent="0.2">
      <c r="A1066" s="57"/>
      <c r="B1066" s="57"/>
      <c r="C1066" s="57"/>
      <c r="D1066" s="57"/>
      <c r="E1066" s="57"/>
      <c r="F1066" s="57"/>
      <c r="G1066" s="57"/>
      <c r="H1066" s="57"/>
      <c r="I1066" s="57"/>
      <c r="J1066" s="57"/>
      <c r="L1066" s="57"/>
      <c r="M1066" s="57"/>
      <c r="N1066" s="57"/>
      <c r="O1066" s="57"/>
      <c r="P1066" s="57"/>
      <c r="Q1066" s="57"/>
      <c r="R1066" s="57"/>
      <c r="S1066" s="57"/>
      <c r="T1066" s="57"/>
      <c r="U1066" s="57"/>
      <c r="V1066" s="57"/>
      <c r="W1066" s="57"/>
      <c r="X1066" s="57"/>
      <c r="Y1066" s="98"/>
      <c r="AA1066" s="98"/>
      <c r="AR1066" s="98"/>
      <c r="AS1066" s="57"/>
      <c r="AU1066" s="57"/>
      <c r="BF1066" s="98"/>
      <c r="BG1066" s="98"/>
      <c r="BH1066" s="98"/>
      <c r="BI1066" s="98"/>
      <c r="BJ1066" s="98"/>
      <c r="BK1066" s="98"/>
      <c r="BL1066" s="98"/>
      <c r="BM1066" s="57"/>
    </row>
    <row r="1067" spans="1:65" ht="11.25" x14ac:dyDescent="0.2">
      <c r="A1067" s="57"/>
      <c r="B1067" s="57"/>
      <c r="C1067" s="57"/>
      <c r="D1067" s="57"/>
      <c r="E1067" s="57"/>
      <c r="F1067" s="57"/>
      <c r="G1067" s="57"/>
      <c r="H1067" s="57"/>
      <c r="I1067" s="57"/>
      <c r="J1067" s="57"/>
      <c r="L1067" s="57"/>
      <c r="M1067" s="57"/>
      <c r="N1067" s="57"/>
      <c r="O1067" s="57"/>
      <c r="P1067" s="57"/>
      <c r="Q1067" s="57"/>
      <c r="R1067" s="57"/>
      <c r="S1067" s="57"/>
      <c r="T1067" s="57"/>
      <c r="U1067" s="57"/>
      <c r="V1067" s="57"/>
      <c r="W1067" s="57"/>
      <c r="X1067" s="57"/>
      <c r="Y1067" s="98"/>
      <c r="AA1067" s="98"/>
      <c r="AR1067" s="98"/>
      <c r="AS1067" s="57"/>
      <c r="AU1067" s="57"/>
      <c r="BF1067" s="98"/>
      <c r="BG1067" s="98"/>
      <c r="BH1067" s="98"/>
      <c r="BI1067" s="98"/>
      <c r="BJ1067" s="98"/>
      <c r="BK1067" s="98"/>
      <c r="BL1067" s="98"/>
      <c r="BM1067" s="57"/>
    </row>
    <row r="1068" spans="1:65" ht="11.25" x14ac:dyDescent="0.2">
      <c r="A1068" s="57"/>
      <c r="B1068" s="57"/>
      <c r="C1068" s="57"/>
      <c r="D1068" s="57"/>
      <c r="E1068" s="57"/>
      <c r="F1068" s="57"/>
      <c r="G1068" s="57"/>
      <c r="H1068" s="57"/>
      <c r="I1068" s="57"/>
      <c r="J1068" s="57"/>
      <c r="L1068" s="57"/>
      <c r="M1068" s="57"/>
      <c r="N1068" s="57"/>
      <c r="O1068" s="57"/>
      <c r="P1068" s="57"/>
      <c r="Q1068" s="57"/>
      <c r="R1068" s="57"/>
      <c r="S1068" s="57"/>
      <c r="T1068" s="57"/>
      <c r="U1068" s="57"/>
      <c r="V1068" s="57"/>
      <c r="W1068" s="57"/>
      <c r="X1068" s="57"/>
      <c r="Y1068" s="98"/>
      <c r="AA1068" s="98"/>
      <c r="AR1068" s="98"/>
      <c r="AS1068" s="57"/>
      <c r="AU1068" s="57"/>
      <c r="BF1068" s="98"/>
      <c r="BG1068" s="98"/>
      <c r="BH1068" s="98"/>
      <c r="BI1068" s="98"/>
      <c r="BJ1068" s="98"/>
      <c r="BK1068" s="98"/>
      <c r="BL1068" s="98"/>
      <c r="BM1068" s="57"/>
    </row>
    <row r="1069" spans="1:65" ht="11.25" x14ac:dyDescent="0.2">
      <c r="A1069" s="57"/>
      <c r="B1069" s="57"/>
      <c r="C1069" s="57"/>
      <c r="D1069" s="57"/>
      <c r="E1069" s="57"/>
      <c r="F1069" s="57"/>
      <c r="G1069" s="57"/>
      <c r="H1069" s="57"/>
      <c r="I1069" s="57"/>
      <c r="J1069" s="57"/>
      <c r="L1069" s="57"/>
      <c r="M1069" s="57"/>
      <c r="N1069" s="57"/>
      <c r="O1069" s="57"/>
      <c r="P1069" s="57"/>
      <c r="Q1069" s="57"/>
      <c r="R1069" s="57"/>
      <c r="S1069" s="57"/>
      <c r="T1069" s="57"/>
      <c r="U1069" s="57"/>
      <c r="V1069" s="57"/>
      <c r="W1069" s="57"/>
      <c r="X1069" s="57"/>
      <c r="Y1069" s="98"/>
      <c r="AA1069" s="98"/>
      <c r="AR1069" s="98"/>
      <c r="AS1069" s="57"/>
      <c r="AU1069" s="57"/>
      <c r="BF1069" s="98"/>
      <c r="BG1069" s="98"/>
      <c r="BH1069" s="98"/>
      <c r="BI1069" s="98"/>
      <c r="BJ1069" s="98"/>
      <c r="BK1069" s="98"/>
      <c r="BL1069" s="98"/>
      <c r="BM1069" s="57"/>
    </row>
    <row r="1070" spans="1:65" ht="11.25" x14ac:dyDescent="0.2">
      <c r="A1070" s="57"/>
      <c r="B1070" s="57"/>
      <c r="C1070" s="57"/>
      <c r="D1070" s="57"/>
      <c r="E1070" s="57"/>
      <c r="F1070" s="57"/>
      <c r="G1070" s="57"/>
      <c r="H1070" s="57"/>
      <c r="I1070" s="57"/>
      <c r="J1070" s="57"/>
      <c r="L1070" s="57"/>
      <c r="M1070" s="57"/>
      <c r="N1070" s="57"/>
      <c r="O1070" s="57"/>
      <c r="P1070" s="57"/>
      <c r="Q1070" s="57"/>
      <c r="R1070" s="57"/>
      <c r="S1070" s="57"/>
      <c r="T1070" s="57"/>
      <c r="U1070" s="57"/>
      <c r="V1070" s="57"/>
      <c r="W1070" s="57"/>
      <c r="X1070" s="57"/>
      <c r="Y1070" s="98"/>
      <c r="AA1070" s="98"/>
      <c r="AR1070" s="98"/>
      <c r="AS1070" s="57"/>
      <c r="AU1070" s="57"/>
      <c r="BF1070" s="98"/>
      <c r="BG1070" s="98"/>
      <c r="BH1070" s="98"/>
      <c r="BI1070" s="98"/>
      <c r="BJ1070" s="98"/>
      <c r="BK1070" s="98"/>
      <c r="BL1070" s="98"/>
      <c r="BM1070" s="57"/>
    </row>
    <row r="1071" spans="1:65" ht="11.25" x14ac:dyDescent="0.2">
      <c r="A1071" s="57"/>
      <c r="B1071" s="57"/>
      <c r="C1071" s="57"/>
      <c r="D1071" s="57"/>
      <c r="E1071" s="57"/>
      <c r="F1071" s="57"/>
      <c r="G1071" s="57"/>
      <c r="H1071" s="57"/>
      <c r="I1071" s="57"/>
      <c r="J1071" s="57"/>
      <c r="L1071" s="57"/>
      <c r="M1071" s="57"/>
      <c r="N1071" s="57"/>
      <c r="O1071" s="57"/>
      <c r="P1071" s="57"/>
      <c r="Q1071" s="57"/>
      <c r="R1071" s="57"/>
      <c r="S1071" s="57"/>
      <c r="T1071" s="57"/>
      <c r="U1071" s="57"/>
      <c r="V1071" s="57"/>
      <c r="W1071" s="57"/>
      <c r="X1071" s="57"/>
      <c r="Y1071" s="98"/>
      <c r="AA1071" s="98"/>
      <c r="AR1071" s="98"/>
      <c r="AS1071" s="57"/>
      <c r="AU1071" s="57"/>
      <c r="BF1071" s="98"/>
      <c r="BG1071" s="98"/>
      <c r="BH1071" s="98"/>
      <c r="BI1071" s="98"/>
      <c r="BJ1071" s="98"/>
      <c r="BK1071" s="98"/>
      <c r="BL1071" s="98"/>
      <c r="BM1071" s="57"/>
    </row>
    <row r="1072" spans="1:65" ht="11.25" x14ac:dyDescent="0.2">
      <c r="A1072" s="57"/>
      <c r="B1072" s="57"/>
      <c r="C1072" s="57"/>
      <c r="D1072" s="57"/>
      <c r="E1072" s="57"/>
      <c r="F1072" s="57"/>
      <c r="G1072" s="57"/>
      <c r="H1072" s="57"/>
      <c r="I1072" s="57"/>
      <c r="J1072" s="57"/>
      <c r="L1072" s="57"/>
      <c r="M1072" s="57"/>
      <c r="N1072" s="57"/>
      <c r="O1072" s="57"/>
      <c r="P1072" s="57"/>
      <c r="Q1072" s="57"/>
      <c r="R1072" s="57"/>
      <c r="S1072" s="57"/>
      <c r="T1072" s="57"/>
      <c r="U1072" s="57"/>
      <c r="V1072" s="57"/>
      <c r="W1072" s="57"/>
      <c r="X1072" s="57"/>
      <c r="Y1072" s="98"/>
      <c r="AA1072" s="98"/>
      <c r="AR1072" s="98"/>
      <c r="AS1072" s="57"/>
      <c r="AU1072" s="57"/>
      <c r="BF1072" s="98"/>
      <c r="BG1072" s="98"/>
      <c r="BH1072" s="98"/>
      <c r="BI1072" s="98"/>
      <c r="BJ1072" s="98"/>
      <c r="BK1072" s="98"/>
      <c r="BL1072" s="98"/>
      <c r="BM1072" s="57"/>
    </row>
    <row r="1073" spans="1:65" ht="11.25" x14ac:dyDescent="0.2">
      <c r="A1073" s="57"/>
      <c r="B1073" s="57"/>
      <c r="C1073" s="57"/>
      <c r="D1073" s="57"/>
      <c r="E1073" s="57"/>
      <c r="F1073" s="57"/>
      <c r="G1073" s="57"/>
      <c r="H1073" s="57"/>
      <c r="I1073" s="57"/>
      <c r="J1073" s="57"/>
      <c r="L1073" s="57"/>
      <c r="M1073" s="57"/>
      <c r="N1073" s="57"/>
      <c r="O1073" s="57"/>
      <c r="P1073" s="57"/>
      <c r="Q1073" s="57"/>
      <c r="R1073" s="57"/>
      <c r="S1073" s="57"/>
      <c r="T1073" s="57"/>
      <c r="U1073" s="57"/>
      <c r="V1073" s="57"/>
      <c r="W1073" s="57"/>
      <c r="X1073" s="57"/>
      <c r="Y1073" s="98"/>
      <c r="AA1073" s="98"/>
      <c r="AR1073" s="98"/>
      <c r="AS1073" s="57"/>
      <c r="AU1073" s="57"/>
      <c r="BF1073" s="98"/>
      <c r="BG1073" s="98"/>
      <c r="BH1073" s="98"/>
      <c r="BI1073" s="98"/>
      <c r="BJ1073" s="98"/>
      <c r="BK1073" s="98"/>
      <c r="BL1073" s="98"/>
      <c r="BM1073" s="57"/>
    </row>
    <row r="1074" spans="1:65" ht="11.25" x14ac:dyDescent="0.2">
      <c r="A1074" s="57"/>
      <c r="B1074" s="57"/>
      <c r="C1074" s="57"/>
      <c r="D1074" s="57"/>
      <c r="E1074" s="57"/>
      <c r="F1074" s="57"/>
      <c r="G1074" s="57"/>
      <c r="H1074" s="57"/>
      <c r="I1074" s="57"/>
      <c r="J1074" s="57"/>
      <c r="L1074" s="57"/>
      <c r="M1074" s="57"/>
      <c r="N1074" s="57"/>
      <c r="O1074" s="57"/>
      <c r="P1074" s="57"/>
      <c r="Q1074" s="57"/>
      <c r="R1074" s="57"/>
      <c r="S1074" s="57"/>
      <c r="T1074" s="57"/>
      <c r="U1074" s="57"/>
      <c r="V1074" s="57"/>
      <c r="W1074" s="57"/>
      <c r="X1074" s="57"/>
      <c r="Y1074" s="98"/>
      <c r="AA1074" s="98"/>
      <c r="AR1074" s="98"/>
      <c r="AS1074" s="57"/>
      <c r="AU1074" s="57"/>
      <c r="BF1074" s="98"/>
      <c r="BG1074" s="98"/>
      <c r="BH1074" s="98"/>
      <c r="BI1074" s="98"/>
      <c r="BJ1074" s="98"/>
      <c r="BK1074" s="98"/>
      <c r="BL1074" s="98"/>
      <c r="BM1074" s="57"/>
    </row>
    <row r="1075" spans="1:65" ht="11.25" x14ac:dyDescent="0.2">
      <c r="A1075" s="57"/>
      <c r="B1075" s="57"/>
      <c r="C1075" s="57"/>
      <c r="D1075" s="57"/>
      <c r="E1075" s="57"/>
      <c r="F1075" s="57"/>
      <c r="G1075" s="57"/>
      <c r="H1075" s="57"/>
      <c r="I1075" s="57"/>
      <c r="J1075" s="57"/>
      <c r="L1075" s="57"/>
      <c r="M1075" s="57"/>
      <c r="N1075" s="57"/>
      <c r="O1075" s="57"/>
      <c r="P1075" s="57"/>
      <c r="Q1075" s="57"/>
      <c r="R1075" s="57"/>
      <c r="S1075" s="57"/>
      <c r="T1075" s="57"/>
      <c r="U1075" s="57"/>
      <c r="V1075" s="57"/>
      <c r="W1075" s="57"/>
      <c r="X1075" s="57"/>
      <c r="Y1075" s="98"/>
      <c r="AA1075" s="98"/>
      <c r="AR1075" s="98"/>
      <c r="AS1075" s="57"/>
      <c r="AU1075" s="57"/>
      <c r="BF1075" s="98"/>
      <c r="BG1075" s="98"/>
      <c r="BH1075" s="98"/>
      <c r="BI1075" s="98"/>
      <c r="BJ1075" s="98"/>
      <c r="BK1075" s="98"/>
      <c r="BL1075" s="98"/>
      <c r="BM1075" s="57"/>
    </row>
    <row r="1076" spans="1:65" ht="11.25" x14ac:dyDescent="0.2">
      <c r="A1076" s="57"/>
      <c r="B1076" s="57"/>
      <c r="C1076" s="57"/>
      <c r="D1076" s="57"/>
      <c r="E1076" s="57"/>
      <c r="F1076" s="57"/>
      <c r="G1076" s="57"/>
      <c r="H1076" s="57"/>
      <c r="I1076" s="57"/>
      <c r="J1076" s="57"/>
      <c r="L1076" s="57"/>
      <c r="M1076" s="57"/>
      <c r="N1076" s="57"/>
      <c r="O1076" s="57"/>
      <c r="P1076" s="57"/>
      <c r="Q1076" s="57"/>
      <c r="R1076" s="57"/>
      <c r="S1076" s="57"/>
      <c r="T1076" s="57"/>
      <c r="U1076" s="57"/>
      <c r="V1076" s="57"/>
      <c r="W1076" s="57"/>
      <c r="X1076" s="57"/>
      <c r="Y1076" s="98"/>
      <c r="AA1076" s="98"/>
      <c r="AR1076" s="98"/>
      <c r="AS1076" s="57"/>
      <c r="AU1076" s="57"/>
      <c r="BF1076" s="98"/>
      <c r="BG1076" s="98"/>
      <c r="BH1076" s="98"/>
      <c r="BI1076" s="98"/>
      <c r="BJ1076" s="98"/>
      <c r="BK1076" s="98"/>
      <c r="BL1076" s="98"/>
      <c r="BM1076" s="57"/>
    </row>
    <row r="1077" spans="1:65" ht="11.25" x14ac:dyDescent="0.2">
      <c r="A1077" s="57"/>
      <c r="B1077" s="57"/>
      <c r="C1077" s="57"/>
      <c r="D1077" s="57"/>
      <c r="E1077" s="57"/>
      <c r="F1077" s="57"/>
      <c r="G1077" s="57"/>
      <c r="H1077" s="57"/>
      <c r="I1077" s="57"/>
      <c r="J1077" s="57"/>
      <c r="L1077" s="57"/>
      <c r="M1077" s="57"/>
      <c r="N1077" s="57"/>
      <c r="O1077" s="57"/>
      <c r="P1077" s="57"/>
      <c r="Q1077" s="57"/>
      <c r="R1077" s="57"/>
      <c r="S1077" s="57"/>
      <c r="T1077" s="57"/>
      <c r="U1077" s="57"/>
      <c r="V1077" s="57"/>
      <c r="W1077" s="57"/>
      <c r="X1077" s="57"/>
      <c r="Y1077" s="98"/>
      <c r="AA1077" s="98"/>
      <c r="AR1077" s="98"/>
      <c r="AS1077" s="57"/>
      <c r="AU1077" s="57"/>
      <c r="BF1077" s="98"/>
      <c r="BG1077" s="98"/>
      <c r="BH1077" s="98"/>
      <c r="BI1077" s="98"/>
      <c r="BJ1077" s="98"/>
      <c r="BK1077" s="98"/>
      <c r="BL1077" s="98"/>
      <c r="BM1077" s="57"/>
    </row>
    <row r="1078" spans="1:65" ht="11.25" x14ac:dyDescent="0.2">
      <c r="A1078" s="57"/>
      <c r="B1078" s="57"/>
      <c r="C1078" s="57"/>
      <c r="D1078" s="57"/>
      <c r="E1078" s="57"/>
      <c r="F1078" s="57"/>
      <c r="G1078" s="57"/>
      <c r="H1078" s="57"/>
      <c r="I1078" s="57"/>
      <c r="J1078" s="57"/>
      <c r="L1078" s="57"/>
      <c r="M1078" s="57"/>
      <c r="N1078" s="57"/>
      <c r="O1078" s="57"/>
      <c r="P1078" s="57"/>
      <c r="Q1078" s="57"/>
      <c r="R1078" s="57"/>
      <c r="S1078" s="57"/>
      <c r="T1078" s="57"/>
      <c r="U1078" s="57"/>
      <c r="V1078" s="57"/>
      <c r="W1078" s="57"/>
      <c r="X1078" s="57"/>
      <c r="Y1078" s="98"/>
      <c r="AA1078" s="98"/>
      <c r="AR1078" s="98"/>
      <c r="AS1078" s="57"/>
      <c r="AU1078" s="57"/>
      <c r="BF1078" s="98"/>
      <c r="BG1078" s="98"/>
      <c r="BH1078" s="98"/>
      <c r="BI1078" s="98"/>
      <c r="BJ1078" s="98"/>
      <c r="BK1078" s="98"/>
      <c r="BL1078" s="98"/>
      <c r="BM1078" s="57"/>
    </row>
    <row r="1079" spans="1:65" ht="11.25" x14ac:dyDescent="0.2">
      <c r="A1079" s="57"/>
      <c r="B1079" s="57"/>
      <c r="C1079" s="57"/>
      <c r="D1079" s="57"/>
      <c r="E1079" s="57"/>
      <c r="F1079" s="57"/>
      <c r="G1079" s="57"/>
      <c r="H1079" s="57"/>
      <c r="I1079" s="57"/>
      <c r="J1079" s="57"/>
      <c r="L1079" s="57"/>
      <c r="M1079" s="57"/>
      <c r="N1079" s="57"/>
      <c r="O1079" s="57"/>
      <c r="P1079" s="57"/>
      <c r="Q1079" s="57"/>
      <c r="R1079" s="57"/>
      <c r="S1079" s="57"/>
      <c r="T1079" s="57"/>
      <c r="U1079" s="57"/>
      <c r="V1079" s="57"/>
      <c r="W1079" s="57"/>
      <c r="X1079" s="57"/>
      <c r="Y1079" s="98"/>
      <c r="AA1079" s="98"/>
      <c r="AR1079" s="98"/>
      <c r="AS1079" s="57"/>
      <c r="AU1079" s="57"/>
      <c r="BF1079" s="98"/>
      <c r="BG1079" s="98"/>
      <c r="BH1079" s="98"/>
      <c r="BI1079" s="98"/>
      <c r="BJ1079" s="98"/>
      <c r="BK1079" s="98"/>
      <c r="BL1079" s="98"/>
      <c r="BM1079" s="57"/>
    </row>
    <row r="1080" spans="1:65" ht="11.25" x14ac:dyDescent="0.2">
      <c r="A1080" s="57"/>
      <c r="B1080" s="57"/>
      <c r="C1080" s="57"/>
      <c r="D1080" s="57"/>
      <c r="E1080" s="57"/>
      <c r="F1080" s="57"/>
      <c r="G1080" s="57"/>
      <c r="H1080" s="57"/>
      <c r="I1080" s="57"/>
      <c r="J1080" s="57"/>
      <c r="L1080" s="57"/>
      <c r="M1080" s="57"/>
      <c r="N1080" s="57"/>
      <c r="O1080" s="57"/>
      <c r="P1080" s="57"/>
      <c r="Q1080" s="57"/>
      <c r="R1080" s="57"/>
      <c r="S1080" s="57"/>
      <c r="T1080" s="57"/>
      <c r="U1080" s="57"/>
      <c r="V1080" s="57"/>
      <c r="W1080" s="57"/>
      <c r="X1080" s="57"/>
      <c r="Y1080" s="98"/>
      <c r="AA1080" s="98"/>
      <c r="AR1080" s="98"/>
      <c r="AS1080" s="57"/>
      <c r="AU1080" s="57"/>
      <c r="BF1080" s="98"/>
      <c r="BG1080" s="98"/>
      <c r="BH1080" s="98"/>
      <c r="BI1080" s="98"/>
      <c r="BJ1080" s="98"/>
      <c r="BK1080" s="98"/>
      <c r="BL1080" s="98"/>
      <c r="BM1080" s="57"/>
    </row>
    <row r="1081" spans="1:65" ht="11.25" x14ac:dyDescent="0.2">
      <c r="A1081" s="57"/>
      <c r="B1081" s="57"/>
      <c r="C1081" s="57"/>
      <c r="D1081" s="57"/>
      <c r="E1081" s="57"/>
      <c r="F1081" s="57"/>
      <c r="G1081" s="57"/>
      <c r="H1081" s="57"/>
      <c r="I1081" s="57"/>
      <c r="J1081" s="57"/>
      <c r="L1081" s="57"/>
      <c r="M1081" s="57"/>
      <c r="N1081" s="57"/>
      <c r="O1081" s="57"/>
      <c r="P1081" s="57"/>
      <c r="Q1081" s="57"/>
      <c r="R1081" s="57"/>
      <c r="S1081" s="57"/>
      <c r="T1081" s="57"/>
      <c r="U1081" s="57"/>
      <c r="V1081" s="57"/>
      <c r="W1081" s="57"/>
      <c r="X1081" s="57"/>
      <c r="Y1081" s="98"/>
      <c r="AA1081" s="98"/>
      <c r="AR1081" s="98"/>
      <c r="AS1081" s="57"/>
      <c r="AU1081" s="57"/>
      <c r="BF1081" s="98"/>
      <c r="BG1081" s="98"/>
      <c r="BH1081" s="98"/>
      <c r="BI1081" s="98"/>
      <c r="BJ1081" s="98"/>
      <c r="BK1081" s="98"/>
      <c r="BL1081" s="98"/>
      <c r="BM1081" s="57"/>
    </row>
    <row r="1082" spans="1:65" ht="11.25" x14ac:dyDescent="0.2">
      <c r="A1082" s="57"/>
      <c r="B1082" s="57"/>
      <c r="C1082" s="57"/>
      <c r="D1082" s="57"/>
      <c r="E1082" s="57"/>
      <c r="F1082" s="57"/>
      <c r="G1082" s="57"/>
      <c r="H1082" s="57"/>
      <c r="I1082" s="57"/>
      <c r="J1082" s="57"/>
      <c r="L1082" s="57"/>
      <c r="M1082" s="57"/>
      <c r="N1082" s="57"/>
      <c r="O1082" s="57"/>
      <c r="P1082" s="57"/>
      <c r="Q1082" s="57"/>
      <c r="R1082" s="57"/>
      <c r="S1082" s="57"/>
      <c r="T1082" s="57"/>
      <c r="U1082" s="57"/>
      <c r="V1082" s="57"/>
      <c r="W1082" s="57"/>
      <c r="X1082" s="57"/>
      <c r="Y1082" s="98"/>
      <c r="AA1082" s="98"/>
      <c r="AR1082" s="98"/>
      <c r="AS1082" s="57"/>
      <c r="AU1082" s="57"/>
      <c r="BF1082" s="98"/>
      <c r="BG1082" s="98"/>
      <c r="BH1082" s="98"/>
      <c r="BI1082" s="98"/>
      <c r="BJ1082" s="98"/>
      <c r="BK1082" s="98"/>
      <c r="BL1082" s="98"/>
      <c r="BM1082" s="57"/>
    </row>
    <row r="1083" spans="1:65" ht="11.25" x14ac:dyDescent="0.2">
      <c r="A1083" s="57"/>
      <c r="B1083" s="57"/>
      <c r="C1083" s="57"/>
      <c r="D1083" s="57"/>
      <c r="E1083" s="57"/>
      <c r="F1083" s="57"/>
      <c r="G1083" s="57"/>
      <c r="H1083" s="57"/>
      <c r="I1083" s="57"/>
      <c r="J1083" s="57"/>
      <c r="L1083" s="57"/>
      <c r="M1083" s="57"/>
      <c r="N1083" s="57"/>
      <c r="O1083" s="57"/>
      <c r="P1083" s="57"/>
      <c r="Q1083" s="57"/>
      <c r="R1083" s="57"/>
      <c r="S1083" s="57"/>
      <c r="T1083" s="57"/>
      <c r="U1083" s="57"/>
      <c r="V1083" s="57"/>
      <c r="W1083" s="57"/>
      <c r="X1083" s="57"/>
      <c r="Y1083" s="98"/>
      <c r="AA1083" s="98"/>
      <c r="AR1083" s="98"/>
      <c r="AS1083" s="57"/>
      <c r="AU1083" s="57"/>
      <c r="BF1083" s="98"/>
      <c r="BG1083" s="98"/>
      <c r="BH1083" s="98"/>
      <c r="BI1083" s="98"/>
      <c r="BJ1083" s="98"/>
      <c r="BK1083" s="98"/>
      <c r="BL1083" s="98"/>
      <c r="BM1083" s="57"/>
    </row>
    <row r="1084" spans="1:65" ht="11.25" x14ac:dyDescent="0.2">
      <c r="A1084" s="57"/>
      <c r="B1084" s="57"/>
      <c r="C1084" s="57"/>
      <c r="D1084" s="57"/>
      <c r="E1084" s="57"/>
      <c r="F1084" s="57"/>
      <c r="G1084" s="57"/>
      <c r="H1084" s="57"/>
      <c r="I1084" s="57"/>
      <c r="J1084" s="57"/>
      <c r="L1084" s="57"/>
      <c r="M1084" s="57"/>
      <c r="N1084" s="57"/>
      <c r="O1084" s="57"/>
      <c r="P1084" s="57"/>
      <c r="Q1084" s="57"/>
      <c r="R1084" s="57"/>
      <c r="S1084" s="57"/>
      <c r="T1084" s="57"/>
      <c r="U1084" s="57"/>
      <c r="V1084" s="57"/>
      <c r="W1084" s="57"/>
      <c r="X1084" s="57"/>
      <c r="Y1084" s="98"/>
      <c r="AA1084" s="98"/>
      <c r="AR1084" s="98"/>
      <c r="AS1084" s="57"/>
      <c r="AU1084" s="57"/>
      <c r="BF1084" s="98"/>
      <c r="BG1084" s="98"/>
      <c r="BH1084" s="98"/>
      <c r="BI1084" s="98"/>
      <c r="BJ1084" s="98"/>
      <c r="BK1084" s="98"/>
      <c r="BL1084" s="98"/>
      <c r="BM1084" s="57"/>
    </row>
    <row r="1085" spans="1:65" ht="11.25" x14ac:dyDescent="0.2">
      <c r="A1085" s="57"/>
      <c r="B1085" s="57"/>
      <c r="C1085" s="57"/>
      <c r="D1085" s="57"/>
      <c r="E1085" s="57"/>
      <c r="F1085" s="57"/>
      <c r="G1085" s="57"/>
      <c r="H1085" s="57"/>
      <c r="I1085" s="57"/>
      <c r="J1085" s="57"/>
      <c r="L1085" s="57"/>
      <c r="M1085" s="57"/>
      <c r="N1085" s="57"/>
      <c r="O1085" s="57"/>
      <c r="P1085" s="57"/>
      <c r="Q1085" s="57"/>
      <c r="R1085" s="57"/>
      <c r="S1085" s="57"/>
      <c r="T1085" s="57"/>
      <c r="U1085" s="57"/>
      <c r="V1085" s="57"/>
      <c r="W1085" s="57"/>
      <c r="X1085" s="57"/>
      <c r="Y1085" s="98"/>
      <c r="AA1085" s="98"/>
      <c r="AR1085" s="98"/>
      <c r="AS1085" s="57"/>
      <c r="AU1085" s="57"/>
      <c r="BF1085" s="98"/>
      <c r="BG1085" s="98"/>
      <c r="BH1085" s="98"/>
      <c r="BI1085" s="98"/>
      <c r="BJ1085" s="98"/>
      <c r="BK1085" s="98"/>
      <c r="BL1085" s="98"/>
      <c r="BM1085" s="57"/>
    </row>
    <row r="1086" spans="1:65" ht="11.25" x14ac:dyDescent="0.2">
      <c r="A1086" s="57"/>
      <c r="B1086" s="57"/>
      <c r="C1086" s="57"/>
      <c r="D1086" s="57"/>
      <c r="E1086" s="57"/>
      <c r="F1086" s="57"/>
      <c r="G1086" s="57"/>
      <c r="H1086" s="57"/>
      <c r="I1086" s="57"/>
      <c r="J1086" s="57"/>
      <c r="L1086" s="57"/>
      <c r="M1086" s="57"/>
      <c r="N1086" s="57"/>
      <c r="O1086" s="57"/>
      <c r="P1086" s="57"/>
      <c r="Q1086" s="57"/>
      <c r="R1086" s="57"/>
      <c r="S1086" s="57"/>
      <c r="T1086" s="57"/>
      <c r="U1086" s="57"/>
      <c r="V1086" s="57"/>
      <c r="W1086" s="57"/>
      <c r="X1086" s="57"/>
      <c r="Y1086" s="98"/>
      <c r="AA1086" s="98"/>
      <c r="AR1086" s="98"/>
      <c r="AS1086" s="57"/>
      <c r="AU1086" s="57"/>
      <c r="BF1086" s="98"/>
      <c r="BG1086" s="98"/>
      <c r="BH1086" s="98"/>
      <c r="BI1086" s="98"/>
      <c r="BJ1086" s="98"/>
      <c r="BK1086" s="98"/>
      <c r="BL1086" s="98"/>
      <c r="BM1086" s="57"/>
    </row>
    <row r="1087" spans="1:65" ht="11.25" x14ac:dyDescent="0.2">
      <c r="A1087" s="57"/>
      <c r="B1087" s="57"/>
      <c r="C1087" s="57"/>
      <c r="D1087" s="57"/>
      <c r="E1087" s="57"/>
      <c r="F1087" s="57"/>
      <c r="G1087" s="57"/>
      <c r="H1087" s="57"/>
      <c r="I1087" s="57"/>
      <c r="J1087" s="57"/>
      <c r="L1087" s="57"/>
      <c r="M1087" s="57"/>
      <c r="N1087" s="57"/>
      <c r="O1087" s="57"/>
      <c r="P1087" s="57"/>
      <c r="Q1087" s="57"/>
      <c r="R1087" s="57"/>
      <c r="S1087" s="57"/>
      <c r="T1087" s="57"/>
      <c r="U1087" s="57"/>
      <c r="V1087" s="57"/>
      <c r="W1087" s="57"/>
      <c r="X1087" s="57"/>
      <c r="Y1087" s="98"/>
      <c r="AA1087" s="98"/>
      <c r="AR1087" s="98"/>
      <c r="AS1087" s="57"/>
      <c r="AU1087" s="57"/>
      <c r="BF1087" s="98"/>
      <c r="BG1087" s="98"/>
      <c r="BH1087" s="98"/>
      <c r="BI1087" s="98"/>
      <c r="BJ1087" s="98"/>
      <c r="BK1087" s="98"/>
      <c r="BL1087" s="98"/>
      <c r="BM1087" s="57"/>
    </row>
    <row r="1088" spans="1:65" ht="11.25" x14ac:dyDescent="0.2">
      <c r="A1088" s="57"/>
      <c r="B1088" s="57"/>
      <c r="C1088" s="57"/>
      <c r="D1088" s="57"/>
      <c r="E1088" s="57"/>
      <c r="F1088" s="57"/>
      <c r="G1088" s="57"/>
      <c r="H1088" s="57"/>
      <c r="I1088" s="57"/>
      <c r="J1088" s="57"/>
      <c r="L1088" s="57"/>
      <c r="M1088" s="57"/>
      <c r="N1088" s="57"/>
      <c r="O1088" s="57"/>
      <c r="P1088" s="57"/>
      <c r="Q1088" s="57"/>
      <c r="R1088" s="57"/>
      <c r="S1088" s="57"/>
      <c r="T1088" s="57"/>
      <c r="U1088" s="57"/>
      <c r="V1088" s="57"/>
      <c r="W1088" s="57"/>
      <c r="X1088" s="57"/>
      <c r="Y1088" s="98"/>
      <c r="AA1088" s="98"/>
      <c r="AR1088" s="98"/>
      <c r="AS1088" s="57"/>
      <c r="AU1088" s="57"/>
      <c r="BF1088" s="98"/>
      <c r="BG1088" s="98"/>
      <c r="BH1088" s="98"/>
      <c r="BI1088" s="98"/>
      <c r="BJ1088" s="98"/>
      <c r="BK1088" s="98"/>
      <c r="BL1088" s="98"/>
      <c r="BM1088" s="57"/>
    </row>
    <row r="1089" spans="1:65" ht="11.25" x14ac:dyDescent="0.2">
      <c r="A1089" s="57"/>
      <c r="B1089" s="57"/>
      <c r="C1089" s="57"/>
      <c r="D1089" s="57"/>
      <c r="E1089" s="57"/>
      <c r="F1089" s="57"/>
      <c r="G1089" s="57"/>
      <c r="H1089" s="57"/>
      <c r="I1089" s="57"/>
      <c r="J1089" s="57"/>
      <c r="L1089" s="57"/>
      <c r="M1089" s="57"/>
      <c r="N1089" s="57"/>
      <c r="O1089" s="57"/>
      <c r="P1089" s="57"/>
      <c r="Q1089" s="57"/>
      <c r="R1089" s="57"/>
      <c r="S1089" s="57"/>
      <c r="T1089" s="57"/>
      <c r="U1089" s="57"/>
      <c r="V1089" s="57"/>
      <c r="W1089" s="57"/>
      <c r="X1089" s="57"/>
      <c r="Y1089" s="98"/>
      <c r="AA1089" s="98"/>
      <c r="AR1089" s="98"/>
      <c r="AS1089" s="57"/>
      <c r="AU1089" s="57"/>
      <c r="BF1089" s="98"/>
      <c r="BG1089" s="98"/>
      <c r="BH1089" s="98"/>
      <c r="BI1089" s="98"/>
      <c r="BJ1089" s="98"/>
      <c r="BK1089" s="98"/>
      <c r="BL1089" s="98"/>
      <c r="BM1089" s="57"/>
    </row>
    <row r="1090" spans="1:65" ht="11.25" x14ac:dyDescent="0.2">
      <c r="A1090" s="57"/>
      <c r="B1090" s="57"/>
      <c r="C1090" s="57"/>
      <c r="D1090" s="57"/>
      <c r="E1090" s="57"/>
      <c r="F1090" s="57"/>
      <c r="G1090" s="57"/>
      <c r="H1090" s="57"/>
      <c r="I1090" s="57"/>
      <c r="J1090" s="57"/>
      <c r="L1090" s="57"/>
      <c r="M1090" s="57"/>
      <c r="N1090" s="57"/>
      <c r="O1090" s="57"/>
      <c r="P1090" s="57"/>
      <c r="Q1090" s="57"/>
      <c r="R1090" s="57"/>
      <c r="S1090" s="57"/>
      <c r="T1090" s="57"/>
      <c r="U1090" s="57"/>
      <c r="V1090" s="57"/>
      <c r="W1090" s="57"/>
      <c r="X1090" s="57"/>
      <c r="Y1090" s="98"/>
      <c r="AA1090" s="98"/>
      <c r="AR1090" s="98"/>
      <c r="AS1090" s="57"/>
      <c r="AU1090" s="57"/>
      <c r="BF1090" s="98"/>
      <c r="BG1090" s="98"/>
      <c r="BH1090" s="98"/>
      <c r="BI1090" s="98"/>
      <c r="BJ1090" s="98"/>
      <c r="BK1090" s="98"/>
      <c r="BL1090" s="98"/>
      <c r="BM1090" s="57"/>
    </row>
    <row r="1091" spans="1:65" ht="11.25" x14ac:dyDescent="0.2">
      <c r="A1091" s="57"/>
      <c r="B1091" s="57"/>
      <c r="C1091" s="57"/>
      <c r="D1091" s="57"/>
      <c r="E1091" s="57"/>
      <c r="F1091" s="57"/>
      <c r="G1091" s="57"/>
      <c r="H1091" s="57"/>
      <c r="I1091" s="57"/>
      <c r="J1091" s="57"/>
      <c r="L1091" s="57"/>
      <c r="M1091" s="57"/>
      <c r="N1091" s="57"/>
      <c r="O1091" s="57"/>
      <c r="P1091" s="57"/>
      <c r="Q1091" s="57"/>
      <c r="R1091" s="57"/>
      <c r="S1091" s="57"/>
      <c r="T1091" s="57"/>
      <c r="U1091" s="57"/>
      <c r="V1091" s="57"/>
      <c r="W1091" s="57"/>
      <c r="X1091" s="57"/>
      <c r="Y1091" s="98"/>
      <c r="AA1091" s="98"/>
      <c r="AR1091" s="98"/>
      <c r="AS1091" s="57"/>
      <c r="AU1091" s="57"/>
      <c r="BF1091" s="98"/>
      <c r="BG1091" s="98"/>
      <c r="BH1091" s="98"/>
      <c r="BI1091" s="98"/>
      <c r="BJ1091" s="98"/>
      <c r="BK1091" s="98"/>
      <c r="BL1091" s="98"/>
      <c r="BM1091" s="57"/>
    </row>
    <row r="1092" spans="1:65" ht="11.25" x14ac:dyDescent="0.2">
      <c r="A1092" s="57"/>
      <c r="B1092" s="57"/>
      <c r="C1092" s="57"/>
      <c r="D1092" s="57"/>
      <c r="E1092" s="57"/>
      <c r="F1092" s="57"/>
      <c r="G1092" s="57"/>
      <c r="H1092" s="57"/>
      <c r="I1092" s="57"/>
      <c r="J1092" s="57"/>
      <c r="L1092" s="57"/>
      <c r="M1092" s="57"/>
      <c r="N1092" s="57"/>
      <c r="O1092" s="57"/>
      <c r="P1092" s="57"/>
      <c r="Q1092" s="57"/>
      <c r="R1092" s="57"/>
      <c r="S1092" s="57"/>
      <c r="T1092" s="57"/>
      <c r="U1092" s="57"/>
      <c r="V1092" s="57"/>
      <c r="W1092" s="57"/>
      <c r="X1092" s="57"/>
      <c r="Y1092" s="98"/>
      <c r="AA1092" s="98"/>
      <c r="AR1092" s="98"/>
      <c r="AS1092" s="57"/>
      <c r="AU1092" s="57"/>
      <c r="BF1092" s="98"/>
      <c r="BG1092" s="98"/>
      <c r="BH1092" s="98"/>
      <c r="BI1092" s="98"/>
      <c r="BJ1092" s="98"/>
      <c r="BK1092" s="98"/>
      <c r="BL1092" s="98"/>
      <c r="BM1092" s="57"/>
    </row>
    <row r="1093" spans="1:65" ht="11.25" x14ac:dyDescent="0.2">
      <c r="A1093" s="57"/>
      <c r="B1093" s="57"/>
      <c r="C1093" s="57"/>
      <c r="D1093" s="57"/>
      <c r="E1093" s="57"/>
      <c r="F1093" s="57"/>
      <c r="G1093" s="57"/>
      <c r="H1093" s="57"/>
      <c r="I1093" s="57"/>
      <c r="J1093" s="57"/>
      <c r="L1093" s="57"/>
      <c r="M1093" s="57"/>
      <c r="N1093" s="57"/>
      <c r="O1093" s="57"/>
      <c r="P1093" s="57"/>
      <c r="Q1093" s="57"/>
      <c r="R1093" s="57"/>
      <c r="S1093" s="57"/>
      <c r="T1093" s="57"/>
      <c r="U1093" s="57"/>
      <c r="V1093" s="57"/>
      <c r="W1093" s="57"/>
      <c r="X1093" s="57"/>
      <c r="Y1093" s="98"/>
      <c r="AA1093" s="98"/>
      <c r="AR1093" s="98"/>
      <c r="AS1093" s="57"/>
      <c r="AU1093" s="57"/>
      <c r="BF1093" s="98"/>
      <c r="BG1093" s="98"/>
      <c r="BH1093" s="98"/>
      <c r="BI1093" s="98"/>
      <c r="BJ1093" s="98"/>
      <c r="BK1093" s="98"/>
      <c r="BL1093" s="98"/>
      <c r="BM1093" s="57"/>
    </row>
    <row r="1094" spans="1:65" ht="11.25" x14ac:dyDescent="0.2">
      <c r="A1094" s="57"/>
      <c r="B1094" s="57"/>
      <c r="C1094" s="57"/>
      <c r="D1094" s="57"/>
      <c r="E1094" s="57"/>
      <c r="F1094" s="57"/>
      <c r="G1094" s="57"/>
      <c r="H1094" s="57"/>
      <c r="I1094" s="57"/>
      <c r="J1094" s="57"/>
      <c r="L1094" s="57"/>
      <c r="M1094" s="57"/>
      <c r="N1094" s="57"/>
      <c r="O1094" s="57"/>
      <c r="P1094" s="57"/>
      <c r="Q1094" s="57"/>
      <c r="R1094" s="57"/>
      <c r="S1094" s="57"/>
      <c r="T1094" s="57"/>
      <c r="U1094" s="57"/>
      <c r="V1094" s="57"/>
      <c r="W1094" s="57"/>
      <c r="X1094" s="57"/>
      <c r="Y1094" s="98"/>
      <c r="AA1094" s="98"/>
      <c r="AR1094" s="98"/>
      <c r="AS1094" s="57"/>
      <c r="AU1094" s="57"/>
      <c r="BF1094" s="98"/>
      <c r="BG1094" s="98"/>
      <c r="BH1094" s="98"/>
      <c r="BI1094" s="98"/>
      <c r="BJ1094" s="98"/>
      <c r="BK1094" s="98"/>
      <c r="BL1094" s="98"/>
      <c r="BM1094" s="57"/>
    </row>
    <row r="1095" spans="1:65" ht="11.25" x14ac:dyDescent="0.2">
      <c r="A1095" s="57"/>
      <c r="B1095" s="57"/>
      <c r="C1095" s="57"/>
      <c r="D1095" s="57"/>
      <c r="E1095" s="57"/>
      <c r="F1095" s="57"/>
      <c r="G1095" s="57"/>
      <c r="H1095" s="57"/>
      <c r="I1095" s="57"/>
      <c r="J1095" s="57"/>
      <c r="L1095" s="57"/>
      <c r="M1095" s="57"/>
      <c r="N1095" s="57"/>
      <c r="O1095" s="57"/>
      <c r="P1095" s="57"/>
      <c r="Q1095" s="57"/>
      <c r="R1095" s="57"/>
      <c r="S1095" s="57"/>
      <c r="T1095" s="57"/>
      <c r="U1095" s="57"/>
      <c r="V1095" s="57"/>
      <c r="W1095" s="57"/>
      <c r="X1095" s="57"/>
      <c r="Y1095" s="98"/>
      <c r="AA1095" s="98"/>
      <c r="AR1095" s="98"/>
      <c r="AS1095" s="57"/>
      <c r="AU1095" s="57"/>
      <c r="BF1095" s="98"/>
      <c r="BG1095" s="98"/>
      <c r="BH1095" s="98"/>
      <c r="BI1095" s="98"/>
      <c r="BJ1095" s="98"/>
      <c r="BK1095" s="98"/>
      <c r="BL1095" s="98"/>
      <c r="BM1095" s="57"/>
    </row>
    <row r="1096" spans="1:65" ht="11.25" x14ac:dyDescent="0.2">
      <c r="A1096" s="57"/>
      <c r="B1096" s="57"/>
      <c r="C1096" s="57"/>
      <c r="D1096" s="57"/>
      <c r="E1096" s="57"/>
      <c r="F1096" s="57"/>
      <c r="G1096" s="57"/>
      <c r="H1096" s="57"/>
      <c r="I1096" s="57"/>
      <c r="J1096" s="57"/>
      <c r="L1096" s="57"/>
      <c r="M1096" s="57"/>
      <c r="N1096" s="57"/>
      <c r="O1096" s="57"/>
      <c r="P1096" s="57"/>
      <c r="Q1096" s="57"/>
      <c r="R1096" s="57"/>
      <c r="S1096" s="57"/>
      <c r="T1096" s="57"/>
      <c r="U1096" s="57"/>
      <c r="V1096" s="57"/>
      <c r="W1096" s="57"/>
      <c r="X1096" s="57"/>
      <c r="Y1096" s="98"/>
      <c r="AA1096" s="98"/>
      <c r="AR1096" s="98"/>
      <c r="AS1096" s="57"/>
      <c r="AU1096" s="57"/>
      <c r="BF1096" s="98"/>
      <c r="BG1096" s="98"/>
      <c r="BH1096" s="98"/>
      <c r="BI1096" s="98"/>
      <c r="BJ1096" s="98"/>
      <c r="BK1096" s="98"/>
      <c r="BL1096" s="98"/>
      <c r="BM1096" s="57"/>
    </row>
    <row r="1097" spans="1:65" ht="11.25" x14ac:dyDescent="0.2">
      <c r="A1097" s="57"/>
      <c r="B1097" s="57"/>
      <c r="C1097" s="57"/>
      <c r="D1097" s="57"/>
      <c r="E1097" s="57"/>
      <c r="F1097" s="57"/>
      <c r="G1097" s="57"/>
      <c r="H1097" s="57"/>
      <c r="I1097" s="57"/>
      <c r="J1097" s="57"/>
      <c r="L1097" s="57"/>
      <c r="M1097" s="57"/>
      <c r="N1097" s="57"/>
      <c r="O1097" s="57"/>
      <c r="P1097" s="57"/>
      <c r="Q1097" s="57"/>
      <c r="R1097" s="57"/>
      <c r="S1097" s="57"/>
      <c r="T1097" s="57"/>
      <c r="U1097" s="57"/>
      <c r="V1097" s="57"/>
      <c r="W1097" s="57"/>
      <c r="X1097" s="57"/>
      <c r="Y1097" s="98"/>
      <c r="AA1097" s="98"/>
      <c r="AR1097" s="98"/>
      <c r="AS1097" s="57"/>
      <c r="AU1097" s="57"/>
      <c r="BF1097" s="98"/>
      <c r="BG1097" s="98"/>
      <c r="BH1097" s="98"/>
      <c r="BI1097" s="98"/>
      <c r="BJ1097" s="98"/>
      <c r="BK1097" s="98"/>
      <c r="BL1097" s="98"/>
      <c r="BM1097" s="57"/>
    </row>
    <row r="1098" spans="1:65" ht="11.25" x14ac:dyDescent="0.2">
      <c r="A1098" s="57"/>
      <c r="B1098" s="57"/>
      <c r="C1098" s="57"/>
      <c r="D1098" s="57"/>
      <c r="E1098" s="57"/>
      <c r="F1098" s="57"/>
      <c r="G1098" s="57"/>
      <c r="H1098" s="57"/>
      <c r="I1098" s="57"/>
      <c r="J1098" s="57"/>
      <c r="L1098" s="57"/>
      <c r="M1098" s="57"/>
      <c r="N1098" s="57"/>
      <c r="O1098" s="57"/>
      <c r="P1098" s="57"/>
      <c r="Q1098" s="57"/>
      <c r="R1098" s="57"/>
      <c r="S1098" s="57"/>
      <c r="T1098" s="57"/>
      <c r="U1098" s="57"/>
      <c r="V1098" s="57"/>
      <c r="W1098" s="57"/>
      <c r="X1098" s="57"/>
      <c r="Y1098" s="98"/>
      <c r="AA1098" s="98"/>
      <c r="AR1098" s="98"/>
      <c r="AS1098" s="57"/>
      <c r="AU1098" s="57"/>
      <c r="BF1098" s="98"/>
      <c r="BG1098" s="98"/>
      <c r="BH1098" s="98"/>
      <c r="BI1098" s="98"/>
      <c r="BJ1098" s="98"/>
      <c r="BK1098" s="98"/>
      <c r="BL1098" s="98"/>
      <c r="BM1098" s="57"/>
    </row>
    <row r="1099" spans="1:65" ht="11.25" x14ac:dyDescent="0.2">
      <c r="A1099" s="57"/>
      <c r="B1099" s="57"/>
      <c r="C1099" s="57"/>
      <c r="D1099" s="57"/>
      <c r="E1099" s="57"/>
      <c r="F1099" s="57"/>
      <c r="G1099" s="57"/>
      <c r="H1099" s="57"/>
      <c r="I1099" s="57"/>
      <c r="J1099" s="57"/>
      <c r="L1099" s="57"/>
      <c r="M1099" s="57"/>
      <c r="N1099" s="57"/>
      <c r="O1099" s="57"/>
      <c r="P1099" s="57"/>
      <c r="Q1099" s="57"/>
      <c r="R1099" s="57"/>
      <c r="S1099" s="57"/>
      <c r="T1099" s="57"/>
      <c r="U1099" s="57"/>
      <c r="V1099" s="57"/>
      <c r="W1099" s="57"/>
      <c r="X1099" s="57"/>
      <c r="Y1099" s="98"/>
      <c r="AA1099" s="98"/>
      <c r="AR1099" s="98"/>
      <c r="AS1099" s="57"/>
      <c r="AU1099" s="57"/>
      <c r="BF1099" s="98"/>
      <c r="BG1099" s="98"/>
      <c r="BH1099" s="98"/>
      <c r="BI1099" s="98"/>
      <c r="BJ1099" s="98"/>
      <c r="BK1099" s="98"/>
      <c r="BL1099" s="98"/>
      <c r="BM1099" s="57"/>
    </row>
    <row r="1100" spans="1:65" ht="11.25" x14ac:dyDescent="0.2">
      <c r="A1100" s="57"/>
      <c r="B1100" s="57"/>
      <c r="C1100" s="57"/>
      <c r="D1100" s="57"/>
      <c r="E1100" s="57"/>
      <c r="F1100" s="57"/>
      <c r="G1100" s="57"/>
      <c r="H1100" s="57"/>
      <c r="I1100" s="57"/>
      <c r="J1100" s="57"/>
      <c r="L1100" s="57"/>
      <c r="M1100" s="57"/>
      <c r="N1100" s="57"/>
      <c r="O1100" s="57"/>
      <c r="P1100" s="57"/>
      <c r="Q1100" s="57"/>
      <c r="R1100" s="57"/>
      <c r="S1100" s="57"/>
      <c r="T1100" s="57"/>
      <c r="U1100" s="57"/>
      <c r="V1100" s="57"/>
      <c r="W1100" s="57"/>
      <c r="X1100" s="57"/>
      <c r="Y1100" s="98"/>
      <c r="AA1100" s="98"/>
      <c r="AR1100" s="98"/>
      <c r="AS1100" s="57"/>
      <c r="AU1100" s="57"/>
      <c r="BF1100" s="98"/>
      <c r="BG1100" s="98"/>
      <c r="BH1100" s="98"/>
      <c r="BI1100" s="98"/>
      <c r="BJ1100" s="98"/>
      <c r="BK1100" s="98"/>
      <c r="BL1100" s="98"/>
      <c r="BM1100" s="57"/>
    </row>
    <row r="1101" spans="1:65" ht="11.25" x14ac:dyDescent="0.2">
      <c r="A1101" s="57"/>
      <c r="B1101" s="57"/>
      <c r="C1101" s="57"/>
      <c r="D1101" s="57"/>
      <c r="E1101" s="57"/>
      <c r="F1101" s="57"/>
      <c r="G1101" s="57"/>
      <c r="H1101" s="57"/>
      <c r="I1101" s="57"/>
      <c r="J1101" s="57"/>
      <c r="L1101" s="57"/>
      <c r="M1101" s="57"/>
      <c r="N1101" s="57"/>
      <c r="O1101" s="57"/>
      <c r="P1101" s="57"/>
      <c r="Q1101" s="57"/>
      <c r="R1101" s="57"/>
      <c r="S1101" s="57"/>
      <c r="T1101" s="57"/>
      <c r="U1101" s="57"/>
      <c r="V1101" s="57"/>
      <c r="W1101" s="57"/>
      <c r="X1101" s="57"/>
      <c r="Y1101" s="98"/>
      <c r="AA1101" s="98"/>
      <c r="AR1101" s="98"/>
      <c r="AS1101" s="57"/>
      <c r="AU1101" s="57"/>
      <c r="BF1101" s="98"/>
      <c r="BG1101" s="98"/>
      <c r="BH1101" s="98"/>
      <c r="BI1101" s="98"/>
      <c r="BJ1101" s="98"/>
      <c r="BK1101" s="98"/>
      <c r="BL1101" s="98"/>
      <c r="BM1101" s="57"/>
    </row>
    <row r="1102" spans="1:65" ht="11.25" x14ac:dyDescent="0.2">
      <c r="A1102" s="57"/>
      <c r="B1102" s="57"/>
      <c r="C1102" s="57"/>
      <c r="D1102" s="57"/>
      <c r="E1102" s="57"/>
      <c r="F1102" s="57"/>
      <c r="G1102" s="57"/>
      <c r="H1102" s="57"/>
      <c r="I1102" s="57"/>
      <c r="J1102" s="57"/>
      <c r="L1102" s="57"/>
      <c r="M1102" s="57"/>
      <c r="N1102" s="57"/>
      <c r="O1102" s="57"/>
      <c r="P1102" s="57"/>
      <c r="Q1102" s="57"/>
      <c r="R1102" s="57"/>
      <c r="S1102" s="57"/>
      <c r="T1102" s="57"/>
      <c r="U1102" s="57"/>
      <c r="V1102" s="57"/>
      <c r="W1102" s="57"/>
      <c r="X1102" s="57"/>
      <c r="Y1102" s="98"/>
      <c r="AA1102" s="98"/>
      <c r="AR1102" s="98"/>
      <c r="AS1102" s="57"/>
      <c r="AU1102" s="57"/>
      <c r="BF1102" s="98"/>
      <c r="BG1102" s="98"/>
      <c r="BH1102" s="98"/>
      <c r="BI1102" s="98"/>
      <c r="BJ1102" s="98"/>
      <c r="BK1102" s="98"/>
      <c r="BL1102" s="98"/>
      <c r="BM1102" s="57"/>
    </row>
    <row r="1103" spans="1:65" ht="11.25" x14ac:dyDescent="0.2">
      <c r="A1103" s="57"/>
      <c r="B1103" s="57"/>
      <c r="C1103" s="57"/>
      <c r="D1103" s="57"/>
      <c r="E1103" s="57"/>
      <c r="F1103" s="57"/>
      <c r="G1103" s="57"/>
      <c r="H1103" s="57"/>
      <c r="I1103" s="57"/>
      <c r="J1103" s="57"/>
      <c r="L1103" s="57"/>
      <c r="M1103" s="57"/>
      <c r="N1103" s="57"/>
      <c r="O1103" s="57"/>
      <c r="P1103" s="57"/>
      <c r="Q1103" s="57"/>
      <c r="R1103" s="57"/>
      <c r="S1103" s="57"/>
      <c r="T1103" s="57"/>
      <c r="U1103" s="57"/>
      <c r="V1103" s="57"/>
      <c r="W1103" s="57"/>
      <c r="X1103" s="57"/>
      <c r="Y1103" s="98"/>
      <c r="AA1103" s="98"/>
      <c r="AR1103" s="98"/>
      <c r="AS1103" s="57"/>
      <c r="AU1103" s="57"/>
      <c r="BF1103" s="98"/>
      <c r="BG1103" s="98"/>
      <c r="BH1103" s="98"/>
      <c r="BI1103" s="98"/>
      <c r="BJ1103" s="98"/>
      <c r="BK1103" s="98"/>
      <c r="BL1103" s="98"/>
      <c r="BM1103" s="57"/>
    </row>
    <row r="1104" spans="1:65" ht="11.25" x14ac:dyDescent="0.2">
      <c r="A1104" s="57"/>
      <c r="B1104" s="57"/>
      <c r="C1104" s="57"/>
      <c r="D1104" s="57"/>
      <c r="E1104" s="57"/>
      <c r="F1104" s="57"/>
      <c r="G1104" s="57"/>
      <c r="H1104" s="57"/>
      <c r="I1104" s="57"/>
      <c r="J1104" s="57"/>
      <c r="L1104" s="57"/>
      <c r="M1104" s="57"/>
      <c r="N1104" s="57"/>
      <c r="O1104" s="57"/>
      <c r="P1104" s="57"/>
      <c r="Q1104" s="57"/>
      <c r="R1104" s="57"/>
      <c r="S1104" s="57"/>
      <c r="T1104" s="57"/>
      <c r="U1104" s="57"/>
      <c r="V1104" s="57"/>
      <c r="W1104" s="57"/>
      <c r="X1104" s="57"/>
      <c r="Y1104" s="98"/>
      <c r="AA1104" s="98"/>
      <c r="AR1104" s="98"/>
      <c r="AS1104" s="57"/>
      <c r="AU1104" s="57"/>
      <c r="BF1104" s="98"/>
      <c r="BG1104" s="98"/>
      <c r="BH1104" s="98"/>
      <c r="BI1104" s="98"/>
      <c r="BJ1104" s="98"/>
      <c r="BK1104" s="98"/>
      <c r="BL1104" s="98"/>
      <c r="BM1104" s="57"/>
    </row>
    <row r="1105" spans="1:65" ht="11.25" x14ac:dyDescent="0.2">
      <c r="A1105" s="57"/>
      <c r="B1105" s="57"/>
      <c r="C1105" s="57"/>
      <c r="D1105" s="57"/>
      <c r="E1105" s="57"/>
      <c r="F1105" s="57"/>
      <c r="G1105" s="57"/>
      <c r="H1105" s="57"/>
      <c r="I1105" s="57"/>
      <c r="J1105" s="57"/>
      <c r="L1105" s="57"/>
      <c r="M1105" s="57"/>
      <c r="N1105" s="57"/>
      <c r="O1105" s="57"/>
      <c r="P1105" s="57"/>
      <c r="Q1105" s="57"/>
      <c r="R1105" s="57"/>
      <c r="S1105" s="57"/>
      <c r="T1105" s="57"/>
      <c r="U1105" s="57"/>
      <c r="V1105" s="57"/>
      <c r="W1105" s="57"/>
      <c r="X1105" s="57"/>
      <c r="Y1105" s="98"/>
      <c r="AA1105" s="98"/>
      <c r="AR1105" s="98"/>
      <c r="AS1105" s="57"/>
      <c r="AU1105" s="57"/>
      <c r="BF1105" s="98"/>
      <c r="BG1105" s="98"/>
      <c r="BH1105" s="98"/>
      <c r="BI1105" s="98"/>
      <c r="BJ1105" s="98"/>
      <c r="BK1105" s="98"/>
      <c r="BL1105" s="98"/>
      <c r="BM1105" s="57"/>
    </row>
    <row r="1106" spans="1:65" ht="11.25" x14ac:dyDescent="0.2">
      <c r="A1106" s="57"/>
      <c r="B1106" s="57"/>
      <c r="C1106" s="57"/>
      <c r="D1106" s="57"/>
      <c r="E1106" s="57"/>
      <c r="F1106" s="57"/>
      <c r="G1106" s="57"/>
      <c r="H1106" s="57"/>
      <c r="I1106" s="57"/>
      <c r="J1106" s="57"/>
      <c r="L1106" s="57"/>
      <c r="M1106" s="57"/>
      <c r="N1106" s="57"/>
      <c r="O1106" s="57"/>
      <c r="P1106" s="57"/>
      <c r="Q1106" s="57"/>
      <c r="R1106" s="57"/>
      <c r="S1106" s="57"/>
      <c r="T1106" s="57"/>
      <c r="U1106" s="57"/>
      <c r="V1106" s="57"/>
      <c r="W1106" s="57"/>
      <c r="X1106" s="57"/>
      <c r="Y1106" s="98"/>
      <c r="AA1106" s="98"/>
      <c r="AR1106" s="98"/>
      <c r="AS1106" s="57"/>
      <c r="AU1106" s="57"/>
      <c r="BF1106" s="98"/>
      <c r="BG1106" s="98"/>
      <c r="BH1106" s="98"/>
      <c r="BI1106" s="98"/>
      <c r="BJ1106" s="98"/>
      <c r="BK1106" s="98"/>
      <c r="BL1106" s="98"/>
      <c r="BM1106" s="57"/>
    </row>
    <row r="1107" spans="1:65" ht="11.25" x14ac:dyDescent="0.2">
      <c r="A1107" s="57"/>
      <c r="B1107" s="57"/>
      <c r="C1107" s="57"/>
      <c r="D1107" s="57"/>
      <c r="E1107" s="57"/>
      <c r="F1107" s="57"/>
      <c r="G1107" s="57"/>
      <c r="H1107" s="57"/>
      <c r="I1107" s="57"/>
      <c r="J1107" s="57"/>
      <c r="L1107" s="57"/>
      <c r="M1107" s="57"/>
      <c r="N1107" s="57"/>
      <c r="O1107" s="57"/>
      <c r="P1107" s="57"/>
      <c r="Q1107" s="57"/>
      <c r="R1107" s="57"/>
      <c r="S1107" s="57"/>
      <c r="T1107" s="57"/>
      <c r="U1107" s="57"/>
      <c r="V1107" s="57"/>
      <c r="W1107" s="57"/>
      <c r="X1107" s="57"/>
      <c r="Y1107" s="98"/>
      <c r="AA1107" s="98"/>
      <c r="AR1107" s="98"/>
      <c r="AS1107" s="57"/>
      <c r="AU1107" s="57"/>
      <c r="BF1107" s="98"/>
      <c r="BG1107" s="98"/>
      <c r="BH1107" s="98"/>
      <c r="BI1107" s="98"/>
      <c r="BJ1107" s="98"/>
      <c r="BK1107" s="98"/>
      <c r="BL1107" s="98"/>
      <c r="BM1107" s="57"/>
    </row>
    <row r="1108" spans="1:65" ht="11.25" x14ac:dyDescent="0.2">
      <c r="A1108" s="57"/>
      <c r="B1108" s="57"/>
      <c r="C1108" s="57"/>
      <c r="D1108" s="57"/>
      <c r="E1108" s="57"/>
      <c r="F1108" s="57"/>
      <c r="G1108" s="57"/>
      <c r="H1108" s="57"/>
      <c r="I1108" s="57"/>
      <c r="J1108" s="57"/>
      <c r="L1108" s="57"/>
      <c r="M1108" s="57"/>
      <c r="N1108" s="57"/>
      <c r="O1108" s="57"/>
      <c r="P1108" s="57"/>
      <c r="Q1108" s="57"/>
      <c r="R1108" s="57"/>
      <c r="S1108" s="57"/>
      <c r="T1108" s="57"/>
      <c r="U1108" s="57"/>
      <c r="V1108" s="57"/>
      <c r="W1108" s="57"/>
      <c r="X1108" s="57"/>
      <c r="Y1108" s="98"/>
      <c r="AA1108" s="98"/>
      <c r="AR1108" s="98"/>
      <c r="AS1108" s="57"/>
      <c r="AU1108" s="57"/>
      <c r="BF1108" s="98"/>
      <c r="BG1108" s="98"/>
      <c r="BH1108" s="98"/>
      <c r="BI1108" s="98"/>
      <c r="BJ1108" s="98"/>
      <c r="BK1108" s="98"/>
      <c r="BL1108" s="98"/>
      <c r="BM1108" s="57"/>
    </row>
    <row r="1109" spans="1:65" ht="11.25" x14ac:dyDescent="0.2">
      <c r="A1109" s="57"/>
      <c r="B1109" s="57"/>
      <c r="C1109" s="57"/>
      <c r="D1109" s="57"/>
      <c r="E1109" s="57"/>
      <c r="F1109" s="57"/>
      <c r="G1109" s="57"/>
      <c r="H1109" s="57"/>
      <c r="I1109" s="57"/>
      <c r="J1109" s="57"/>
      <c r="L1109" s="57"/>
      <c r="M1109" s="57"/>
      <c r="N1109" s="57"/>
      <c r="O1109" s="57"/>
      <c r="P1109" s="57"/>
      <c r="Q1109" s="57"/>
      <c r="R1109" s="57"/>
      <c r="S1109" s="57"/>
      <c r="T1109" s="57"/>
      <c r="U1109" s="57"/>
      <c r="V1109" s="57"/>
      <c r="W1109" s="57"/>
      <c r="X1109" s="57"/>
      <c r="Y1109" s="98"/>
      <c r="AA1109" s="98"/>
      <c r="AR1109" s="98"/>
      <c r="AS1109" s="57"/>
      <c r="AU1109" s="57"/>
      <c r="BF1109" s="98"/>
      <c r="BG1109" s="98"/>
      <c r="BH1109" s="98"/>
      <c r="BI1109" s="98"/>
      <c r="BJ1109" s="98"/>
      <c r="BK1109" s="98"/>
      <c r="BL1109" s="98"/>
      <c r="BM1109" s="57"/>
    </row>
    <row r="1110" spans="1:65" ht="11.25" x14ac:dyDescent="0.2">
      <c r="A1110" s="57"/>
      <c r="B1110" s="57"/>
      <c r="C1110" s="57"/>
      <c r="D1110" s="57"/>
      <c r="E1110" s="57"/>
      <c r="F1110" s="57"/>
      <c r="G1110" s="57"/>
      <c r="H1110" s="57"/>
      <c r="I1110" s="57"/>
      <c r="J1110" s="57"/>
      <c r="L1110" s="57"/>
      <c r="M1110" s="57"/>
      <c r="N1110" s="57"/>
      <c r="O1110" s="57"/>
      <c r="P1110" s="57"/>
      <c r="Q1110" s="57"/>
      <c r="R1110" s="57"/>
      <c r="S1110" s="57"/>
      <c r="T1110" s="57"/>
      <c r="U1110" s="57"/>
      <c r="V1110" s="57"/>
      <c r="W1110" s="57"/>
      <c r="X1110" s="57"/>
      <c r="Y1110" s="98"/>
      <c r="AA1110" s="98"/>
      <c r="AR1110" s="98"/>
      <c r="AS1110" s="57"/>
      <c r="AU1110" s="57"/>
      <c r="BF1110" s="98"/>
      <c r="BG1110" s="98"/>
      <c r="BH1110" s="98"/>
      <c r="BI1110" s="98"/>
      <c r="BJ1110" s="98"/>
      <c r="BK1110" s="98"/>
      <c r="BL1110" s="98"/>
      <c r="BM1110" s="57"/>
    </row>
    <row r="1111" spans="1:65" ht="11.25" x14ac:dyDescent="0.2">
      <c r="A1111" s="57"/>
      <c r="B1111" s="57"/>
      <c r="C1111" s="57"/>
      <c r="D1111" s="57"/>
      <c r="E1111" s="57"/>
      <c r="F1111" s="57"/>
      <c r="G1111" s="57"/>
      <c r="H1111" s="57"/>
      <c r="I1111" s="57"/>
      <c r="J1111" s="57"/>
      <c r="L1111" s="57"/>
      <c r="M1111" s="57"/>
      <c r="N1111" s="57"/>
      <c r="O1111" s="57"/>
      <c r="P1111" s="57"/>
      <c r="Q1111" s="57"/>
      <c r="R1111" s="57"/>
      <c r="S1111" s="57"/>
      <c r="T1111" s="57"/>
      <c r="U1111" s="57"/>
      <c r="V1111" s="57"/>
      <c r="W1111" s="57"/>
      <c r="X1111" s="57"/>
      <c r="Y1111" s="98"/>
      <c r="AA1111" s="98"/>
      <c r="AR1111" s="98"/>
      <c r="AS1111" s="57"/>
      <c r="AU1111" s="57"/>
      <c r="BF1111" s="98"/>
      <c r="BG1111" s="98"/>
      <c r="BH1111" s="98"/>
      <c r="BI1111" s="98"/>
      <c r="BJ1111" s="98"/>
      <c r="BK1111" s="98"/>
      <c r="BL1111" s="98"/>
      <c r="BM1111" s="57"/>
    </row>
    <row r="1112" spans="1:65" ht="11.25" x14ac:dyDescent="0.2">
      <c r="A1112" s="57"/>
      <c r="B1112" s="57"/>
      <c r="C1112" s="57"/>
      <c r="D1112" s="57"/>
      <c r="E1112" s="57"/>
      <c r="F1112" s="57"/>
      <c r="G1112" s="57"/>
      <c r="H1112" s="57"/>
      <c r="I1112" s="57"/>
      <c r="J1112" s="57"/>
      <c r="L1112" s="57"/>
      <c r="M1112" s="57"/>
      <c r="N1112" s="57"/>
      <c r="O1112" s="57"/>
      <c r="P1112" s="57"/>
      <c r="Q1112" s="57"/>
      <c r="R1112" s="57"/>
      <c r="S1112" s="57"/>
      <c r="T1112" s="57"/>
      <c r="U1112" s="57"/>
      <c r="V1112" s="57"/>
      <c r="W1112" s="57"/>
      <c r="X1112" s="57"/>
      <c r="Y1112" s="98"/>
      <c r="AA1112" s="98"/>
      <c r="AR1112" s="98"/>
      <c r="AS1112" s="57"/>
      <c r="AU1112" s="57"/>
      <c r="BF1112" s="98"/>
      <c r="BG1112" s="98"/>
      <c r="BH1112" s="98"/>
      <c r="BI1112" s="98"/>
      <c r="BJ1112" s="98"/>
      <c r="BK1112" s="98"/>
      <c r="BL1112" s="98"/>
      <c r="BM1112" s="57"/>
    </row>
    <row r="1113" spans="1:65" ht="11.25" x14ac:dyDescent="0.2">
      <c r="A1113" s="57"/>
      <c r="B1113" s="57"/>
      <c r="C1113" s="57"/>
      <c r="D1113" s="57"/>
      <c r="E1113" s="57"/>
      <c r="F1113" s="57"/>
      <c r="G1113" s="57"/>
      <c r="H1113" s="57"/>
      <c r="I1113" s="57"/>
      <c r="J1113" s="57"/>
      <c r="L1113" s="57"/>
      <c r="M1113" s="57"/>
      <c r="N1113" s="57"/>
      <c r="O1113" s="57"/>
      <c r="P1113" s="57"/>
      <c r="Q1113" s="57"/>
      <c r="R1113" s="57"/>
      <c r="S1113" s="57"/>
      <c r="T1113" s="57"/>
      <c r="U1113" s="57"/>
      <c r="V1113" s="57"/>
      <c r="W1113" s="57"/>
      <c r="X1113" s="57"/>
      <c r="Y1113" s="98"/>
      <c r="AA1113" s="98"/>
      <c r="AR1113" s="98"/>
      <c r="AS1113" s="57"/>
      <c r="AU1113" s="57"/>
      <c r="BF1113" s="98"/>
      <c r="BG1113" s="98"/>
      <c r="BH1113" s="98"/>
      <c r="BI1113" s="98"/>
      <c r="BJ1113" s="98"/>
      <c r="BK1113" s="98"/>
      <c r="BL1113" s="98"/>
      <c r="BM1113" s="57"/>
    </row>
    <row r="1114" spans="1:65" ht="11.25" x14ac:dyDescent="0.2">
      <c r="A1114" s="57"/>
      <c r="B1114" s="57"/>
      <c r="C1114" s="57"/>
      <c r="D1114" s="57"/>
      <c r="E1114" s="57"/>
      <c r="F1114" s="57"/>
      <c r="G1114" s="57"/>
      <c r="H1114" s="57"/>
      <c r="I1114" s="57"/>
      <c r="J1114" s="57"/>
      <c r="L1114" s="57"/>
      <c r="M1114" s="57"/>
      <c r="N1114" s="57"/>
      <c r="O1114" s="57"/>
      <c r="P1114" s="57"/>
      <c r="Q1114" s="57"/>
      <c r="R1114" s="57"/>
      <c r="S1114" s="57"/>
      <c r="T1114" s="57"/>
      <c r="U1114" s="57"/>
      <c r="V1114" s="57"/>
      <c r="W1114" s="57"/>
      <c r="X1114" s="57"/>
      <c r="Y1114" s="98"/>
      <c r="AA1114" s="98"/>
      <c r="AR1114" s="98"/>
      <c r="AS1114" s="57"/>
      <c r="AU1114" s="57"/>
      <c r="BF1114" s="98"/>
      <c r="BG1114" s="98"/>
      <c r="BH1114" s="98"/>
      <c r="BI1114" s="98"/>
      <c r="BJ1114" s="98"/>
      <c r="BK1114" s="98"/>
      <c r="BL1114" s="98"/>
      <c r="BM1114" s="57"/>
    </row>
    <row r="1115" spans="1:65" ht="11.25" x14ac:dyDescent="0.2">
      <c r="A1115" s="57"/>
      <c r="B1115" s="57"/>
      <c r="C1115" s="57"/>
      <c r="D1115" s="57"/>
      <c r="E1115" s="57"/>
      <c r="F1115" s="57"/>
      <c r="G1115" s="57"/>
      <c r="H1115" s="57"/>
      <c r="I1115" s="57"/>
      <c r="J1115" s="57"/>
      <c r="L1115" s="57"/>
      <c r="M1115" s="57"/>
      <c r="N1115" s="57"/>
      <c r="O1115" s="57"/>
      <c r="P1115" s="57"/>
      <c r="Q1115" s="57"/>
      <c r="R1115" s="57"/>
      <c r="S1115" s="57"/>
      <c r="T1115" s="57"/>
      <c r="U1115" s="57"/>
      <c r="V1115" s="57"/>
      <c r="W1115" s="57"/>
      <c r="X1115" s="57"/>
      <c r="Y1115" s="98"/>
      <c r="AA1115" s="98"/>
      <c r="AR1115" s="98"/>
      <c r="AS1115" s="57"/>
      <c r="AU1115" s="57"/>
      <c r="BF1115" s="98"/>
      <c r="BG1115" s="98"/>
      <c r="BH1115" s="98"/>
      <c r="BI1115" s="98"/>
      <c r="BJ1115" s="98"/>
      <c r="BK1115" s="98"/>
      <c r="BL1115" s="98"/>
      <c r="BM1115" s="57"/>
    </row>
    <row r="1116" spans="1:65" ht="11.25" x14ac:dyDescent="0.2">
      <c r="A1116" s="57"/>
      <c r="B1116" s="57"/>
      <c r="C1116" s="57"/>
      <c r="D1116" s="57"/>
      <c r="E1116" s="57"/>
      <c r="F1116" s="57"/>
      <c r="G1116" s="57"/>
      <c r="H1116" s="57"/>
      <c r="I1116" s="57"/>
      <c r="J1116" s="57"/>
      <c r="L1116" s="57"/>
      <c r="M1116" s="57"/>
      <c r="N1116" s="57"/>
      <c r="O1116" s="57"/>
      <c r="P1116" s="57"/>
      <c r="Q1116" s="57"/>
      <c r="R1116" s="57"/>
      <c r="S1116" s="57"/>
      <c r="T1116" s="57"/>
      <c r="U1116" s="57"/>
      <c r="V1116" s="57"/>
      <c r="W1116" s="57"/>
      <c r="X1116" s="57"/>
      <c r="Y1116" s="98"/>
      <c r="AA1116" s="98"/>
      <c r="AR1116" s="98"/>
      <c r="AS1116" s="57"/>
      <c r="AU1116" s="57"/>
      <c r="BF1116" s="98"/>
      <c r="BG1116" s="98"/>
      <c r="BH1116" s="98"/>
      <c r="BI1116" s="98"/>
      <c r="BJ1116" s="98"/>
      <c r="BK1116" s="98"/>
      <c r="BL1116" s="98"/>
      <c r="BM1116" s="57"/>
    </row>
    <row r="1117" spans="1:65" ht="11.25" x14ac:dyDescent="0.2">
      <c r="A1117" s="57"/>
      <c r="B1117" s="57"/>
      <c r="C1117" s="57"/>
      <c r="D1117" s="57"/>
      <c r="E1117" s="57"/>
      <c r="F1117" s="57"/>
      <c r="G1117" s="57"/>
      <c r="H1117" s="57"/>
      <c r="I1117" s="57"/>
      <c r="J1117" s="57"/>
      <c r="L1117" s="57"/>
      <c r="M1117" s="57"/>
      <c r="N1117" s="57"/>
      <c r="O1117" s="57"/>
      <c r="P1117" s="57"/>
      <c r="Q1117" s="57"/>
      <c r="R1117" s="57"/>
      <c r="S1117" s="57"/>
      <c r="T1117" s="57"/>
      <c r="U1117" s="57"/>
      <c r="V1117" s="57"/>
      <c r="W1117" s="57"/>
      <c r="X1117" s="57"/>
      <c r="Y1117" s="98"/>
      <c r="AA1117" s="98"/>
      <c r="AR1117" s="98"/>
      <c r="AS1117" s="57"/>
      <c r="AU1117" s="57"/>
      <c r="BF1117" s="98"/>
      <c r="BG1117" s="98"/>
      <c r="BH1117" s="98"/>
      <c r="BI1117" s="98"/>
      <c r="BJ1117" s="98"/>
      <c r="BK1117" s="98"/>
      <c r="BL1117" s="98"/>
      <c r="BM1117" s="57"/>
    </row>
    <row r="1118" spans="1:65" ht="11.25" x14ac:dyDescent="0.2">
      <c r="A1118" s="57"/>
      <c r="B1118" s="57"/>
      <c r="C1118" s="57"/>
      <c r="D1118" s="57"/>
      <c r="E1118" s="57"/>
      <c r="F1118" s="57"/>
      <c r="G1118" s="57"/>
      <c r="H1118" s="57"/>
      <c r="I1118" s="57"/>
      <c r="J1118" s="57"/>
      <c r="L1118" s="57"/>
      <c r="M1118" s="57"/>
      <c r="N1118" s="57"/>
      <c r="O1118" s="57"/>
      <c r="P1118" s="57"/>
      <c r="Q1118" s="57"/>
      <c r="R1118" s="57"/>
      <c r="S1118" s="57"/>
      <c r="T1118" s="57"/>
      <c r="U1118" s="57"/>
      <c r="V1118" s="57"/>
      <c r="W1118" s="57"/>
      <c r="X1118" s="57"/>
      <c r="Y1118" s="98"/>
      <c r="AA1118" s="98"/>
      <c r="AR1118" s="98"/>
      <c r="AS1118" s="57"/>
      <c r="AU1118" s="57"/>
      <c r="BF1118" s="98"/>
      <c r="BG1118" s="98"/>
      <c r="BH1118" s="98"/>
      <c r="BI1118" s="98"/>
      <c r="BJ1118" s="98"/>
      <c r="BK1118" s="98"/>
      <c r="BL1118" s="98"/>
      <c r="BM1118" s="57"/>
    </row>
    <row r="1119" spans="1:65" ht="11.25" x14ac:dyDescent="0.2">
      <c r="A1119" s="57"/>
      <c r="B1119" s="57"/>
      <c r="C1119" s="57"/>
      <c r="D1119" s="57"/>
      <c r="E1119" s="57"/>
      <c r="F1119" s="57"/>
      <c r="G1119" s="57"/>
      <c r="H1119" s="57"/>
      <c r="I1119" s="57"/>
      <c r="J1119" s="57"/>
      <c r="L1119" s="57"/>
      <c r="M1119" s="57"/>
      <c r="N1119" s="57"/>
      <c r="O1119" s="57"/>
      <c r="P1119" s="57"/>
      <c r="Q1119" s="57"/>
      <c r="R1119" s="57"/>
      <c r="S1119" s="57"/>
      <c r="T1119" s="57"/>
      <c r="U1119" s="57"/>
      <c r="V1119" s="57"/>
      <c r="W1119" s="57"/>
      <c r="X1119" s="57"/>
      <c r="Y1119" s="98"/>
      <c r="AA1119" s="98"/>
      <c r="AR1119" s="98"/>
      <c r="AS1119" s="57"/>
      <c r="AU1119" s="57"/>
      <c r="BF1119" s="98"/>
      <c r="BG1119" s="98"/>
      <c r="BH1119" s="98"/>
      <c r="BI1119" s="98"/>
      <c r="BJ1119" s="98"/>
      <c r="BK1119" s="98"/>
      <c r="BL1119" s="98"/>
      <c r="BM1119" s="57"/>
    </row>
    <row r="1120" spans="1:65" ht="11.25" x14ac:dyDescent="0.2">
      <c r="A1120" s="57"/>
      <c r="B1120" s="57"/>
      <c r="C1120" s="57"/>
      <c r="D1120" s="57"/>
      <c r="E1120" s="57"/>
      <c r="F1120" s="57"/>
      <c r="G1120" s="57"/>
      <c r="H1120" s="57"/>
      <c r="I1120" s="57"/>
      <c r="J1120" s="57"/>
      <c r="L1120" s="57"/>
      <c r="M1120" s="57"/>
      <c r="N1120" s="57"/>
      <c r="O1120" s="57"/>
      <c r="P1120" s="57"/>
      <c r="Q1120" s="57"/>
      <c r="R1120" s="57"/>
      <c r="S1120" s="57"/>
      <c r="T1120" s="57"/>
      <c r="U1120" s="57"/>
      <c r="V1120" s="57"/>
      <c r="W1120" s="57"/>
      <c r="X1120" s="57"/>
      <c r="Y1120" s="98"/>
      <c r="AA1120" s="98"/>
      <c r="AR1120" s="98"/>
      <c r="AS1120" s="57"/>
      <c r="AU1120" s="57"/>
      <c r="BF1120" s="98"/>
      <c r="BG1120" s="98"/>
      <c r="BH1120" s="98"/>
      <c r="BI1120" s="98"/>
      <c r="BJ1120" s="98"/>
      <c r="BK1120" s="98"/>
      <c r="BL1120" s="98"/>
      <c r="BM1120" s="57"/>
    </row>
    <row r="1121" spans="1:65" ht="11.25" x14ac:dyDescent="0.2">
      <c r="A1121" s="57"/>
      <c r="B1121" s="57"/>
      <c r="C1121" s="57"/>
      <c r="D1121" s="57"/>
      <c r="E1121" s="57"/>
      <c r="F1121" s="57"/>
      <c r="G1121" s="57"/>
      <c r="H1121" s="57"/>
      <c r="I1121" s="57"/>
      <c r="J1121" s="57"/>
      <c r="L1121" s="57"/>
      <c r="M1121" s="57"/>
      <c r="N1121" s="57"/>
      <c r="O1121" s="57"/>
      <c r="P1121" s="57"/>
      <c r="Q1121" s="57"/>
      <c r="R1121" s="57"/>
      <c r="S1121" s="57"/>
      <c r="T1121" s="57"/>
      <c r="U1121" s="57"/>
      <c r="V1121" s="57"/>
      <c r="W1121" s="57"/>
      <c r="X1121" s="57"/>
      <c r="Y1121" s="98"/>
      <c r="AA1121" s="98"/>
      <c r="AR1121" s="98"/>
      <c r="AS1121" s="57"/>
      <c r="AU1121" s="57"/>
      <c r="BF1121" s="98"/>
      <c r="BG1121" s="98"/>
      <c r="BH1121" s="98"/>
      <c r="BI1121" s="98"/>
      <c r="BJ1121" s="98"/>
      <c r="BK1121" s="98"/>
      <c r="BL1121" s="98"/>
      <c r="BM1121" s="57"/>
    </row>
    <row r="1122" spans="1:65" ht="11.25" x14ac:dyDescent="0.2">
      <c r="A1122" s="57"/>
      <c r="B1122" s="57"/>
      <c r="C1122" s="57"/>
      <c r="D1122" s="57"/>
      <c r="E1122" s="57"/>
      <c r="F1122" s="57"/>
      <c r="G1122" s="57"/>
      <c r="H1122" s="57"/>
      <c r="I1122" s="57"/>
      <c r="J1122" s="57"/>
      <c r="L1122" s="57"/>
      <c r="M1122" s="57"/>
      <c r="N1122" s="57"/>
      <c r="O1122" s="57"/>
      <c r="P1122" s="57"/>
      <c r="Q1122" s="57"/>
      <c r="R1122" s="57"/>
      <c r="S1122" s="57"/>
      <c r="T1122" s="57"/>
      <c r="U1122" s="57"/>
      <c r="V1122" s="57"/>
      <c r="W1122" s="57"/>
      <c r="X1122" s="57"/>
      <c r="Y1122" s="98"/>
      <c r="AA1122" s="98"/>
      <c r="AR1122" s="98"/>
      <c r="AS1122" s="57"/>
      <c r="AU1122" s="57"/>
      <c r="BF1122" s="98"/>
      <c r="BG1122" s="98"/>
      <c r="BH1122" s="98"/>
      <c r="BI1122" s="98"/>
      <c r="BJ1122" s="98"/>
      <c r="BK1122" s="98"/>
      <c r="BL1122" s="98"/>
      <c r="BM1122" s="57"/>
    </row>
    <row r="1123" spans="1:65" ht="11.25" x14ac:dyDescent="0.2">
      <c r="A1123" s="57"/>
      <c r="B1123" s="57"/>
      <c r="C1123" s="57"/>
      <c r="D1123" s="57"/>
      <c r="E1123" s="57"/>
      <c r="F1123" s="57"/>
      <c r="G1123" s="57"/>
      <c r="H1123" s="57"/>
      <c r="I1123" s="57"/>
      <c r="J1123" s="57"/>
      <c r="L1123" s="57"/>
      <c r="M1123" s="57"/>
      <c r="N1123" s="57"/>
      <c r="O1123" s="57"/>
      <c r="P1123" s="57"/>
      <c r="Q1123" s="57"/>
      <c r="R1123" s="57"/>
      <c r="S1123" s="57"/>
      <c r="T1123" s="57"/>
      <c r="U1123" s="57"/>
      <c r="V1123" s="57"/>
      <c r="W1123" s="57"/>
      <c r="X1123" s="57"/>
      <c r="Y1123" s="98"/>
      <c r="AA1123" s="98"/>
      <c r="AR1123" s="98"/>
      <c r="AS1123" s="57"/>
      <c r="AU1123" s="57"/>
      <c r="BF1123" s="98"/>
      <c r="BG1123" s="98"/>
      <c r="BH1123" s="98"/>
      <c r="BI1123" s="98"/>
      <c r="BJ1123" s="98"/>
      <c r="BK1123" s="98"/>
      <c r="BL1123" s="98"/>
      <c r="BM1123" s="57"/>
    </row>
    <row r="1124" spans="1:65" ht="11.25" x14ac:dyDescent="0.2">
      <c r="A1124" s="57"/>
      <c r="B1124" s="57"/>
      <c r="C1124" s="57"/>
      <c r="D1124" s="57"/>
      <c r="E1124" s="57"/>
      <c r="F1124" s="57"/>
      <c r="G1124" s="57"/>
      <c r="H1124" s="57"/>
      <c r="I1124" s="57"/>
      <c r="J1124" s="57"/>
      <c r="L1124" s="57"/>
      <c r="M1124" s="57"/>
      <c r="N1124" s="57"/>
      <c r="O1124" s="57"/>
      <c r="P1124" s="57"/>
      <c r="Q1124" s="57"/>
      <c r="R1124" s="57"/>
      <c r="S1124" s="57"/>
      <c r="T1124" s="57"/>
      <c r="U1124" s="57"/>
      <c r="V1124" s="57"/>
      <c r="W1124" s="57"/>
      <c r="X1124" s="57"/>
      <c r="Y1124" s="98"/>
      <c r="AA1124" s="98"/>
      <c r="AR1124" s="98"/>
      <c r="AS1124" s="57"/>
      <c r="AU1124" s="57"/>
      <c r="BF1124" s="98"/>
      <c r="BG1124" s="98"/>
      <c r="BH1124" s="98"/>
      <c r="BI1124" s="98"/>
      <c r="BJ1124" s="98"/>
      <c r="BK1124" s="98"/>
      <c r="BL1124" s="98"/>
      <c r="BM1124" s="57"/>
    </row>
    <row r="1125" spans="1:65" ht="11.25" x14ac:dyDescent="0.2">
      <c r="A1125" s="57"/>
      <c r="B1125" s="57"/>
      <c r="C1125" s="57"/>
      <c r="D1125" s="57"/>
      <c r="E1125" s="57"/>
      <c r="F1125" s="57"/>
      <c r="G1125" s="57"/>
      <c r="H1125" s="57"/>
      <c r="I1125" s="57"/>
      <c r="J1125" s="57"/>
      <c r="L1125" s="57"/>
      <c r="M1125" s="57"/>
      <c r="N1125" s="57"/>
      <c r="O1125" s="57"/>
      <c r="P1125" s="57"/>
      <c r="Q1125" s="57"/>
      <c r="R1125" s="57"/>
      <c r="S1125" s="57"/>
      <c r="T1125" s="57"/>
      <c r="U1125" s="57"/>
      <c r="V1125" s="57"/>
      <c r="W1125" s="57"/>
      <c r="X1125" s="57"/>
      <c r="Y1125" s="98"/>
      <c r="AA1125" s="98"/>
      <c r="AR1125" s="98"/>
      <c r="AS1125" s="57"/>
      <c r="AU1125" s="57"/>
      <c r="BF1125" s="98"/>
      <c r="BG1125" s="98"/>
      <c r="BH1125" s="98"/>
      <c r="BI1125" s="98"/>
      <c r="BJ1125" s="98"/>
      <c r="BK1125" s="98"/>
      <c r="BL1125" s="98"/>
      <c r="BM1125" s="57"/>
    </row>
    <row r="1126" spans="1:65" ht="11.25" x14ac:dyDescent="0.2">
      <c r="A1126" s="57"/>
      <c r="B1126" s="57"/>
      <c r="C1126" s="57"/>
      <c r="D1126" s="57"/>
      <c r="E1126" s="57"/>
      <c r="F1126" s="57"/>
      <c r="G1126" s="57"/>
      <c r="H1126" s="57"/>
      <c r="I1126" s="57"/>
      <c r="J1126" s="57"/>
      <c r="L1126" s="57"/>
      <c r="M1126" s="57"/>
      <c r="N1126" s="57"/>
      <c r="O1126" s="57"/>
      <c r="P1126" s="57"/>
      <c r="Q1126" s="57"/>
      <c r="R1126" s="57"/>
      <c r="S1126" s="57"/>
      <c r="T1126" s="57"/>
      <c r="U1126" s="57"/>
      <c r="V1126" s="57"/>
      <c r="W1126" s="57"/>
      <c r="X1126" s="57"/>
      <c r="Y1126" s="98"/>
      <c r="AA1126" s="98"/>
      <c r="AR1126" s="98"/>
      <c r="AS1126" s="57"/>
      <c r="AU1126" s="57"/>
      <c r="BF1126" s="98"/>
      <c r="BG1126" s="98"/>
      <c r="BH1126" s="98"/>
      <c r="BI1126" s="98"/>
      <c r="BJ1126" s="98"/>
      <c r="BK1126" s="98"/>
      <c r="BL1126" s="98"/>
      <c r="BM1126" s="57"/>
    </row>
    <row r="1127" spans="1:65" ht="11.25" x14ac:dyDescent="0.2">
      <c r="A1127" s="57"/>
      <c r="B1127" s="57"/>
      <c r="C1127" s="57"/>
      <c r="D1127" s="57"/>
      <c r="E1127" s="57"/>
      <c r="F1127" s="57"/>
      <c r="G1127" s="57"/>
      <c r="H1127" s="57"/>
      <c r="I1127" s="57"/>
      <c r="J1127" s="57"/>
      <c r="L1127" s="57"/>
      <c r="M1127" s="57"/>
      <c r="N1127" s="57"/>
      <c r="O1127" s="57"/>
      <c r="P1127" s="57"/>
      <c r="Q1127" s="57"/>
      <c r="R1127" s="57"/>
      <c r="S1127" s="57"/>
      <c r="T1127" s="57"/>
      <c r="U1127" s="57"/>
      <c r="V1127" s="57"/>
      <c r="W1127" s="57"/>
      <c r="X1127" s="57"/>
      <c r="Y1127" s="98"/>
      <c r="AA1127" s="98"/>
      <c r="AR1127" s="98"/>
      <c r="AS1127" s="57"/>
      <c r="AU1127" s="57"/>
      <c r="BF1127" s="98"/>
      <c r="BG1127" s="98"/>
      <c r="BH1127" s="98"/>
      <c r="BI1127" s="98"/>
      <c r="BJ1127" s="98"/>
      <c r="BK1127" s="98"/>
      <c r="BL1127" s="98"/>
      <c r="BM1127" s="57"/>
    </row>
    <row r="1128" spans="1:65" ht="11.25" x14ac:dyDescent="0.2">
      <c r="A1128" s="57"/>
      <c r="B1128" s="57"/>
      <c r="C1128" s="57"/>
      <c r="D1128" s="57"/>
      <c r="E1128" s="57"/>
      <c r="F1128" s="57"/>
      <c r="G1128" s="57"/>
      <c r="H1128" s="57"/>
      <c r="I1128" s="57"/>
      <c r="J1128" s="57"/>
      <c r="L1128" s="57"/>
      <c r="M1128" s="57"/>
      <c r="N1128" s="57"/>
      <c r="O1128" s="57"/>
      <c r="P1128" s="57"/>
      <c r="Q1128" s="57"/>
      <c r="R1128" s="57"/>
      <c r="S1128" s="57"/>
      <c r="T1128" s="57"/>
      <c r="U1128" s="57"/>
      <c r="V1128" s="57"/>
      <c r="W1128" s="57"/>
      <c r="X1128" s="57"/>
      <c r="Y1128" s="98"/>
      <c r="AA1128" s="98"/>
      <c r="AR1128" s="98"/>
      <c r="AS1128" s="57"/>
      <c r="AU1128" s="57"/>
      <c r="BF1128" s="98"/>
      <c r="BG1128" s="98"/>
      <c r="BH1128" s="98"/>
      <c r="BI1128" s="98"/>
      <c r="BJ1128" s="98"/>
      <c r="BK1128" s="98"/>
      <c r="BL1128" s="98"/>
      <c r="BM1128" s="57"/>
    </row>
    <row r="1129" spans="1:65" ht="11.25" x14ac:dyDescent="0.2">
      <c r="A1129" s="57"/>
      <c r="B1129" s="57"/>
      <c r="C1129" s="57"/>
      <c r="D1129" s="57"/>
      <c r="E1129" s="57"/>
      <c r="F1129" s="57"/>
      <c r="G1129" s="57"/>
      <c r="H1129" s="57"/>
      <c r="I1129" s="57"/>
      <c r="J1129" s="57"/>
      <c r="L1129" s="57"/>
      <c r="M1129" s="57"/>
      <c r="N1129" s="57"/>
      <c r="O1129" s="57"/>
      <c r="P1129" s="57"/>
      <c r="Q1129" s="57"/>
      <c r="R1129" s="57"/>
      <c r="S1129" s="57"/>
      <c r="T1129" s="57"/>
      <c r="U1129" s="57"/>
      <c r="V1129" s="57"/>
      <c r="W1129" s="57"/>
      <c r="X1129" s="57"/>
      <c r="Y1129" s="98"/>
      <c r="AA1129" s="98"/>
      <c r="AR1129" s="98"/>
      <c r="AS1129" s="57"/>
      <c r="AU1129" s="57"/>
      <c r="BF1129" s="98"/>
      <c r="BG1129" s="98"/>
      <c r="BH1129" s="98"/>
      <c r="BI1129" s="98"/>
      <c r="BJ1129" s="98"/>
      <c r="BK1129" s="98"/>
      <c r="BL1129" s="98"/>
      <c r="BM1129" s="57"/>
    </row>
    <row r="1130" spans="1:65" ht="11.25" x14ac:dyDescent="0.2">
      <c r="A1130" s="57"/>
      <c r="B1130" s="57"/>
      <c r="C1130" s="57"/>
      <c r="D1130" s="57"/>
      <c r="E1130" s="57"/>
      <c r="F1130" s="57"/>
      <c r="G1130" s="57"/>
      <c r="H1130" s="57"/>
      <c r="I1130" s="57"/>
      <c r="J1130" s="57"/>
      <c r="L1130" s="57"/>
      <c r="M1130" s="57"/>
      <c r="N1130" s="57"/>
      <c r="O1130" s="57"/>
      <c r="P1130" s="57"/>
      <c r="Q1130" s="57"/>
      <c r="R1130" s="57"/>
      <c r="S1130" s="57"/>
      <c r="T1130" s="57"/>
      <c r="U1130" s="57"/>
      <c r="V1130" s="57"/>
      <c r="W1130" s="57"/>
      <c r="X1130" s="57"/>
      <c r="Y1130" s="98"/>
      <c r="AA1130" s="98"/>
      <c r="AR1130" s="98"/>
      <c r="AS1130" s="57"/>
      <c r="AU1130" s="57"/>
      <c r="BF1130" s="98"/>
      <c r="BG1130" s="98"/>
      <c r="BH1130" s="98"/>
      <c r="BI1130" s="98"/>
      <c r="BJ1130" s="98"/>
      <c r="BK1130" s="98"/>
      <c r="BL1130" s="98"/>
      <c r="BM1130" s="57"/>
    </row>
    <row r="1131" spans="1:65" ht="11.25" x14ac:dyDescent="0.2">
      <c r="A1131" s="57"/>
      <c r="B1131" s="57"/>
      <c r="C1131" s="57"/>
      <c r="D1131" s="57"/>
      <c r="E1131" s="57"/>
      <c r="F1131" s="57"/>
      <c r="G1131" s="57"/>
      <c r="H1131" s="57"/>
      <c r="I1131" s="57"/>
      <c r="J1131" s="57"/>
      <c r="L1131" s="57"/>
      <c r="M1131" s="57"/>
      <c r="N1131" s="57"/>
      <c r="O1131" s="57"/>
      <c r="P1131" s="57"/>
      <c r="Q1131" s="57"/>
      <c r="R1131" s="57"/>
      <c r="S1131" s="57"/>
      <c r="T1131" s="57"/>
      <c r="U1131" s="57"/>
      <c r="V1131" s="57"/>
      <c r="W1131" s="57"/>
      <c r="X1131" s="57"/>
      <c r="Y1131" s="98"/>
      <c r="AA1131" s="98"/>
      <c r="AR1131" s="98"/>
      <c r="AS1131" s="57"/>
      <c r="AU1131" s="57"/>
      <c r="BF1131" s="98"/>
      <c r="BG1131" s="98"/>
      <c r="BH1131" s="98"/>
      <c r="BI1131" s="98"/>
      <c r="BJ1131" s="98"/>
      <c r="BK1131" s="98"/>
      <c r="BL1131" s="98"/>
      <c r="BM1131" s="57"/>
    </row>
    <row r="1132" spans="1:65" ht="11.25" x14ac:dyDescent="0.2">
      <c r="A1132" s="57"/>
      <c r="B1132" s="57"/>
      <c r="C1132" s="57"/>
      <c r="D1132" s="57"/>
      <c r="E1132" s="57"/>
      <c r="F1132" s="57"/>
      <c r="G1132" s="57"/>
      <c r="H1132" s="57"/>
      <c r="I1132" s="57"/>
      <c r="J1132" s="57"/>
      <c r="L1132" s="57"/>
      <c r="M1132" s="57"/>
      <c r="N1132" s="57"/>
      <c r="O1132" s="57"/>
      <c r="P1132" s="57"/>
      <c r="Q1132" s="57"/>
      <c r="R1132" s="57"/>
      <c r="S1132" s="57"/>
      <c r="T1132" s="57"/>
      <c r="U1132" s="57"/>
      <c r="V1132" s="57"/>
      <c r="W1132" s="57"/>
      <c r="X1132" s="57"/>
      <c r="Y1132" s="98"/>
      <c r="AA1132" s="98"/>
      <c r="AR1132" s="98"/>
      <c r="AS1132" s="57"/>
      <c r="AU1132" s="57"/>
      <c r="BF1132" s="98"/>
      <c r="BG1132" s="98"/>
      <c r="BH1132" s="98"/>
      <c r="BI1132" s="98"/>
      <c r="BJ1132" s="98"/>
      <c r="BK1132" s="98"/>
      <c r="BL1132" s="98"/>
      <c r="BM1132" s="57"/>
    </row>
    <row r="1133" spans="1:65" ht="11.25" x14ac:dyDescent="0.2">
      <c r="A1133" s="57"/>
      <c r="B1133" s="57"/>
      <c r="C1133" s="57"/>
      <c r="D1133" s="57"/>
      <c r="E1133" s="57"/>
      <c r="F1133" s="57"/>
      <c r="G1133" s="57"/>
      <c r="H1133" s="57"/>
      <c r="I1133" s="57"/>
      <c r="J1133" s="57"/>
      <c r="L1133" s="57"/>
      <c r="M1133" s="57"/>
      <c r="N1133" s="57"/>
      <c r="O1133" s="57"/>
      <c r="P1133" s="57"/>
      <c r="Q1133" s="57"/>
      <c r="R1133" s="57"/>
      <c r="S1133" s="57"/>
      <c r="T1133" s="57"/>
      <c r="U1133" s="57"/>
      <c r="V1133" s="57"/>
      <c r="W1133" s="57"/>
      <c r="X1133" s="57"/>
      <c r="Y1133" s="98"/>
      <c r="AA1133" s="98"/>
      <c r="AR1133" s="98"/>
      <c r="AS1133" s="57"/>
      <c r="AU1133" s="57"/>
      <c r="BF1133" s="98"/>
      <c r="BG1133" s="98"/>
      <c r="BH1133" s="98"/>
      <c r="BI1133" s="98"/>
      <c r="BJ1133" s="98"/>
      <c r="BK1133" s="98"/>
      <c r="BL1133" s="98"/>
      <c r="BM1133" s="57"/>
    </row>
    <row r="1134" spans="1:65" ht="11.25" x14ac:dyDescent="0.2">
      <c r="A1134" s="57"/>
      <c r="B1134" s="57"/>
      <c r="C1134" s="57"/>
      <c r="D1134" s="57"/>
      <c r="E1134" s="57"/>
      <c r="F1134" s="57"/>
      <c r="G1134" s="57"/>
      <c r="H1134" s="57"/>
      <c r="I1134" s="57"/>
      <c r="J1134" s="57"/>
      <c r="L1134" s="57"/>
      <c r="M1134" s="57"/>
      <c r="N1134" s="57"/>
      <c r="O1134" s="57"/>
      <c r="P1134" s="57"/>
      <c r="Q1134" s="57"/>
      <c r="R1134" s="57"/>
      <c r="S1134" s="57"/>
      <c r="T1134" s="57"/>
      <c r="U1134" s="57"/>
      <c r="V1134" s="57"/>
      <c r="W1134" s="57"/>
      <c r="X1134" s="57"/>
      <c r="Y1134" s="98"/>
      <c r="AA1134" s="98"/>
      <c r="AR1134" s="98"/>
      <c r="AS1134" s="57"/>
      <c r="AU1134" s="57"/>
      <c r="BF1134" s="98"/>
      <c r="BG1134" s="98"/>
      <c r="BH1134" s="98"/>
      <c r="BI1134" s="98"/>
      <c r="BJ1134" s="98"/>
      <c r="BK1134" s="98"/>
      <c r="BL1134" s="98"/>
      <c r="BM1134" s="57"/>
    </row>
    <row r="1135" spans="1:65" ht="11.25" x14ac:dyDescent="0.2">
      <c r="A1135" s="57"/>
      <c r="B1135" s="57"/>
      <c r="C1135" s="57"/>
      <c r="D1135" s="57"/>
      <c r="E1135" s="57"/>
      <c r="F1135" s="57"/>
      <c r="G1135" s="57"/>
      <c r="H1135" s="57"/>
      <c r="I1135" s="57"/>
      <c r="J1135" s="57"/>
      <c r="L1135" s="57"/>
      <c r="M1135" s="57"/>
      <c r="N1135" s="57"/>
      <c r="O1135" s="57"/>
      <c r="P1135" s="57"/>
      <c r="Q1135" s="57"/>
      <c r="R1135" s="57"/>
      <c r="S1135" s="57"/>
      <c r="T1135" s="57"/>
      <c r="U1135" s="57"/>
      <c r="V1135" s="57"/>
      <c r="W1135" s="57"/>
      <c r="X1135" s="57"/>
      <c r="Y1135" s="98"/>
      <c r="AA1135" s="98"/>
      <c r="AR1135" s="98"/>
      <c r="AS1135" s="57"/>
      <c r="AU1135" s="57"/>
      <c r="BF1135" s="98"/>
      <c r="BG1135" s="98"/>
      <c r="BH1135" s="98"/>
      <c r="BI1135" s="98"/>
      <c r="BJ1135" s="98"/>
      <c r="BK1135" s="98"/>
      <c r="BL1135" s="98"/>
      <c r="BM1135" s="57"/>
    </row>
    <row r="1136" spans="1:65" ht="11.25" x14ac:dyDescent="0.2">
      <c r="A1136" s="57"/>
      <c r="B1136" s="57"/>
      <c r="C1136" s="57"/>
      <c r="D1136" s="57"/>
      <c r="E1136" s="57"/>
      <c r="F1136" s="57"/>
      <c r="G1136" s="57"/>
      <c r="H1136" s="57"/>
      <c r="I1136" s="57"/>
      <c r="J1136" s="57"/>
      <c r="L1136" s="57"/>
      <c r="M1136" s="57"/>
      <c r="N1136" s="57"/>
      <c r="O1136" s="57"/>
      <c r="P1136" s="57"/>
      <c r="Q1136" s="57"/>
      <c r="R1136" s="57"/>
      <c r="S1136" s="57"/>
      <c r="T1136" s="57"/>
      <c r="U1136" s="57"/>
      <c r="V1136" s="57"/>
      <c r="W1136" s="57"/>
      <c r="X1136" s="57"/>
      <c r="Y1136" s="98"/>
      <c r="AA1136" s="98"/>
      <c r="AR1136" s="98"/>
      <c r="AS1136" s="57"/>
      <c r="AU1136" s="57"/>
      <c r="BF1136" s="98"/>
      <c r="BG1136" s="98"/>
      <c r="BH1136" s="98"/>
      <c r="BI1136" s="98"/>
      <c r="BJ1136" s="98"/>
      <c r="BK1136" s="98"/>
      <c r="BL1136" s="98"/>
      <c r="BM1136" s="57"/>
    </row>
    <row r="1137" spans="1:65" ht="11.25" x14ac:dyDescent="0.2">
      <c r="A1137" s="57"/>
      <c r="B1137" s="57"/>
      <c r="C1137" s="57"/>
      <c r="D1137" s="57"/>
      <c r="E1137" s="57"/>
      <c r="F1137" s="57"/>
      <c r="G1137" s="57"/>
      <c r="H1137" s="57"/>
      <c r="I1137" s="57"/>
      <c r="J1137" s="57"/>
      <c r="L1137" s="57"/>
      <c r="M1137" s="57"/>
      <c r="N1137" s="57"/>
      <c r="O1137" s="57"/>
      <c r="P1137" s="57"/>
      <c r="Q1137" s="57"/>
      <c r="R1137" s="57"/>
      <c r="S1137" s="57"/>
      <c r="T1137" s="57"/>
      <c r="U1137" s="57"/>
      <c r="V1137" s="57"/>
      <c r="W1137" s="57"/>
      <c r="X1137" s="57"/>
      <c r="Y1137" s="98"/>
      <c r="AA1137" s="98"/>
      <c r="AR1137" s="98"/>
      <c r="AS1137" s="57"/>
      <c r="AU1137" s="57"/>
      <c r="BF1137" s="98"/>
      <c r="BG1137" s="98"/>
      <c r="BH1137" s="98"/>
      <c r="BI1137" s="98"/>
      <c r="BJ1137" s="98"/>
      <c r="BK1137" s="98"/>
      <c r="BL1137" s="98"/>
      <c r="BM1137" s="57"/>
    </row>
    <row r="1138" spans="1:65" ht="11.25" x14ac:dyDescent="0.2">
      <c r="A1138" s="57"/>
      <c r="B1138" s="57"/>
      <c r="C1138" s="57"/>
      <c r="D1138" s="57"/>
      <c r="E1138" s="57"/>
      <c r="F1138" s="57"/>
      <c r="G1138" s="57"/>
      <c r="H1138" s="57"/>
      <c r="I1138" s="57"/>
      <c r="J1138" s="57"/>
      <c r="L1138" s="57"/>
      <c r="M1138" s="57"/>
      <c r="N1138" s="57"/>
      <c r="O1138" s="57"/>
      <c r="P1138" s="57"/>
      <c r="Q1138" s="57"/>
      <c r="R1138" s="57"/>
      <c r="S1138" s="57"/>
      <c r="T1138" s="57"/>
      <c r="U1138" s="57"/>
      <c r="V1138" s="57"/>
      <c r="W1138" s="57"/>
      <c r="X1138" s="57"/>
      <c r="Y1138" s="98"/>
      <c r="AA1138" s="98"/>
      <c r="AR1138" s="98"/>
      <c r="AS1138" s="57"/>
      <c r="AU1138" s="57"/>
      <c r="BF1138" s="98"/>
      <c r="BG1138" s="98"/>
      <c r="BH1138" s="98"/>
      <c r="BI1138" s="98"/>
      <c r="BJ1138" s="98"/>
      <c r="BK1138" s="98"/>
      <c r="BL1138" s="98"/>
      <c r="BM1138" s="57"/>
    </row>
    <row r="1139" spans="1:65" ht="11.25" x14ac:dyDescent="0.2">
      <c r="A1139" s="57"/>
      <c r="B1139" s="57"/>
      <c r="C1139" s="57"/>
      <c r="D1139" s="57"/>
      <c r="E1139" s="57"/>
      <c r="F1139" s="57"/>
      <c r="G1139" s="57"/>
      <c r="H1139" s="57"/>
      <c r="I1139" s="57"/>
      <c r="J1139" s="57"/>
      <c r="L1139" s="57"/>
      <c r="M1139" s="57"/>
      <c r="N1139" s="57"/>
      <c r="O1139" s="57"/>
      <c r="P1139" s="57"/>
      <c r="Q1139" s="57"/>
      <c r="R1139" s="57"/>
      <c r="S1139" s="57"/>
      <c r="T1139" s="57"/>
      <c r="U1139" s="57"/>
      <c r="V1139" s="57"/>
      <c r="W1139" s="57"/>
      <c r="X1139" s="57"/>
      <c r="Y1139" s="98"/>
      <c r="AA1139" s="98"/>
      <c r="AR1139" s="98"/>
      <c r="AS1139" s="57"/>
      <c r="AU1139" s="57"/>
      <c r="BF1139" s="98"/>
      <c r="BG1139" s="98"/>
      <c r="BH1139" s="98"/>
      <c r="BI1139" s="98"/>
      <c r="BJ1139" s="98"/>
      <c r="BK1139" s="98"/>
      <c r="BL1139" s="98"/>
      <c r="BM1139" s="57"/>
    </row>
    <row r="1140" spans="1:65" ht="11.25" x14ac:dyDescent="0.2">
      <c r="A1140" s="57"/>
      <c r="B1140" s="57"/>
      <c r="C1140" s="57"/>
      <c r="D1140" s="57"/>
      <c r="E1140" s="57"/>
      <c r="F1140" s="57"/>
      <c r="G1140" s="57"/>
      <c r="H1140" s="57"/>
      <c r="I1140" s="57"/>
      <c r="J1140" s="57"/>
      <c r="L1140" s="57"/>
      <c r="M1140" s="57"/>
      <c r="N1140" s="57"/>
      <c r="O1140" s="57"/>
      <c r="P1140" s="57"/>
      <c r="Q1140" s="57"/>
      <c r="R1140" s="57"/>
      <c r="S1140" s="57"/>
      <c r="T1140" s="57"/>
      <c r="U1140" s="57"/>
      <c r="V1140" s="57"/>
      <c r="W1140" s="57"/>
      <c r="X1140" s="57"/>
      <c r="Y1140" s="98"/>
      <c r="AA1140" s="98"/>
      <c r="AR1140" s="98"/>
      <c r="AS1140" s="57"/>
      <c r="AU1140" s="57"/>
      <c r="BF1140" s="98"/>
      <c r="BG1140" s="98"/>
      <c r="BH1140" s="98"/>
      <c r="BI1140" s="98"/>
      <c r="BJ1140" s="98"/>
      <c r="BK1140" s="98"/>
      <c r="BL1140" s="98"/>
      <c r="BM1140" s="57"/>
    </row>
    <row r="1141" spans="1:65" ht="11.25" x14ac:dyDescent="0.2">
      <c r="A1141" s="57"/>
      <c r="B1141" s="57"/>
      <c r="C1141" s="57"/>
      <c r="D1141" s="57"/>
      <c r="E1141" s="57"/>
      <c r="F1141" s="57"/>
      <c r="G1141" s="57"/>
      <c r="H1141" s="57"/>
      <c r="I1141" s="57"/>
      <c r="J1141" s="57"/>
      <c r="L1141" s="57"/>
      <c r="M1141" s="57"/>
      <c r="N1141" s="57"/>
      <c r="O1141" s="57"/>
      <c r="P1141" s="57"/>
      <c r="Q1141" s="57"/>
      <c r="R1141" s="57"/>
      <c r="S1141" s="57"/>
      <c r="T1141" s="57"/>
      <c r="U1141" s="57"/>
      <c r="V1141" s="57"/>
      <c r="W1141" s="57"/>
      <c r="X1141" s="57"/>
      <c r="Y1141" s="98"/>
      <c r="AA1141" s="98"/>
      <c r="AR1141" s="98"/>
      <c r="AS1141" s="57"/>
      <c r="AU1141" s="57"/>
      <c r="BF1141" s="98"/>
      <c r="BG1141" s="98"/>
      <c r="BH1141" s="98"/>
      <c r="BI1141" s="98"/>
      <c r="BJ1141" s="98"/>
      <c r="BK1141" s="98"/>
      <c r="BL1141" s="98"/>
      <c r="BM1141" s="57"/>
    </row>
    <row r="1142" spans="1:65" ht="11.25" x14ac:dyDescent="0.2">
      <c r="A1142" s="57"/>
      <c r="B1142" s="57"/>
      <c r="C1142" s="57"/>
      <c r="D1142" s="57"/>
      <c r="E1142" s="57"/>
      <c r="F1142" s="57"/>
      <c r="G1142" s="57"/>
      <c r="H1142" s="57"/>
      <c r="I1142" s="57"/>
      <c r="J1142" s="57"/>
      <c r="L1142" s="57"/>
      <c r="M1142" s="57"/>
      <c r="N1142" s="57"/>
      <c r="O1142" s="57"/>
      <c r="P1142" s="57"/>
      <c r="Q1142" s="57"/>
      <c r="R1142" s="57"/>
      <c r="S1142" s="57"/>
      <c r="T1142" s="57"/>
      <c r="U1142" s="57"/>
      <c r="V1142" s="57"/>
      <c r="W1142" s="57"/>
      <c r="X1142" s="57"/>
      <c r="Y1142" s="98"/>
      <c r="AA1142" s="98"/>
      <c r="AR1142" s="98"/>
      <c r="AS1142" s="57"/>
      <c r="AU1142" s="57"/>
      <c r="BF1142" s="98"/>
      <c r="BG1142" s="98"/>
      <c r="BH1142" s="98"/>
      <c r="BI1142" s="98"/>
      <c r="BJ1142" s="98"/>
      <c r="BK1142" s="98"/>
      <c r="BL1142" s="98"/>
      <c r="BM1142" s="57"/>
    </row>
    <row r="1143" spans="1:65" ht="11.25" x14ac:dyDescent="0.2">
      <c r="A1143" s="57"/>
      <c r="B1143" s="57"/>
      <c r="C1143" s="57"/>
      <c r="D1143" s="57"/>
      <c r="E1143" s="57"/>
      <c r="F1143" s="57"/>
      <c r="G1143" s="57"/>
      <c r="H1143" s="57"/>
      <c r="I1143" s="57"/>
      <c r="J1143" s="57"/>
      <c r="L1143" s="57"/>
      <c r="M1143" s="57"/>
      <c r="N1143" s="57"/>
      <c r="O1143" s="57"/>
      <c r="P1143" s="57"/>
      <c r="Q1143" s="57"/>
      <c r="R1143" s="57"/>
      <c r="S1143" s="57"/>
      <c r="T1143" s="57"/>
      <c r="U1143" s="57"/>
      <c r="V1143" s="57"/>
      <c r="W1143" s="57"/>
      <c r="X1143" s="57"/>
      <c r="Y1143" s="98"/>
      <c r="AA1143" s="98"/>
      <c r="AR1143" s="98"/>
      <c r="AS1143" s="57"/>
      <c r="AU1143" s="57"/>
      <c r="BF1143" s="98"/>
      <c r="BG1143" s="98"/>
      <c r="BH1143" s="98"/>
      <c r="BI1143" s="98"/>
      <c r="BJ1143" s="98"/>
      <c r="BK1143" s="98"/>
      <c r="BL1143" s="98"/>
      <c r="BM1143" s="57"/>
    </row>
    <row r="1144" spans="1:65" ht="11.25" x14ac:dyDescent="0.2">
      <c r="A1144" s="57"/>
      <c r="B1144" s="57"/>
      <c r="C1144" s="57"/>
      <c r="D1144" s="57"/>
      <c r="E1144" s="57"/>
      <c r="F1144" s="57"/>
      <c r="G1144" s="57"/>
      <c r="H1144" s="57"/>
      <c r="I1144" s="57"/>
      <c r="J1144" s="57"/>
      <c r="L1144" s="57"/>
      <c r="M1144" s="57"/>
      <c r="N1144" s="57"/>
      <c r="O1144" s="57"/>
      <c r="P1144" s="57"/>
      <c r="Q1144" s="57"/>
      <c r="R1144" s="57"/>
      <c r="S1144" s="57"/>
      <c r="T1144" s="57"/>
      <c r="U1144" s="57"/>
      <c r="V1144" s="57"/>
      <c r="W1144" s="57"/>
      <c r="X1144" s="57"/>
      <c r="Y1144" s="98"/>
      <c r="AA1144" s="98"/>
      <c r="AR1144" s="98"/>
      <c r="AS1144" s="57"/>
      <c r="AU1144" s="57"/>
      <c r="BF1144" s="98"/>
      <c r="BG1144" s="98"/>
      <c r="BH1144" s="98"/>
      <c r="BI1144" s="98"/>
      <c r="BJ1144" s="98"/>
      <c r="BK1144" s="98"/>
      <c r="BL1144" s="98"/>
      <c r="BM1144" s="57"/>
    </row>
    <row r="1145" spans="1:65" ht="11.25" x14ac:dyDescent="0.2">
      <c r="A1145" s="57"/>
      <c r="B1145" s="57"/>
      <c r="C1145" s="57"/>
      <c r="D1145" s="57"/>
      <c r="E1145" s="57"/>
      <c r="F1145" s="57"/>
      <c r="G1145" s="57"/>
      <c r="H1145" s="57"/>
      <c r="I1145" s="57"/>
      <c r="J1145" s="57"/>
      <c r="L1145" s="57"/>
      <c r="M1145" s="57"/>
      <c r="N1145" s="57"/>
      <c r="O1145" s="57"/>
      <c r="P1145" s="57"/>
      <c r="Q1145" s="57"/>
      <c r="R1145" s="57"/>
      <c r="S1145" s="57"/>
      <c r="T1145" s="57"/>
      <c r="U1145" s="57"/>
      <c r="V1145" s="57"/>
      <c r="W1145" s="57"/>
      <c r="X1145" s="57"/>
      <c r="Y1145" s="98"/>
      <c r="AA1145" s="98"/>
      <c r="AR1145" s="98"/>
      <c r="AS1145" s="57"/>
      <c r="AU1145" s="57"/>
      <c r="BF1145" s="98"/>
      <c r="BG1145" s="98"/>
      <c r="BH1145" s="98"/>
      <c r="BI1145" s="98"/>
      <c r="BJ1145" s="98"/>
      <c r="BK1145" s="98"/>
      <c r="BL1145" s="98"/>
      <c r="BM1145" s="57"/>
    </row>
    <row r="1146" spans="1:65" ht="11.25" x14ac:dyDescent="0.2">
      <c r="A1146" s="57"/>
      <c r="B1146" s="57"/>
      <c r="C1146" s="57"/>
      <c r="D1146" s="57"/>
      <c r="E1146" s="57"/>
      <c r="F1146" s="57"/>
      <c r="G1146" s="57"/>
      <c r="H1146" s="57"/>
      <c r="I1146" s="57"/>
      <c r="J1146" s="57"/>
      <c r="L1146" s="57"/>
      <c r="M1146" s="57"/>
      <c r="N1146" s="57"/>
      <c r="O1146" s="57"/>
      <c r="P1146" s="57"/>
      <c r="Q1146" s="57"/>
      <c r="R1146" s="57"/>
      <c r="S1146" s="57"/>
      <c r="T1146" s="57"/>
      <c r="U1146" s="57"/>
      <c r="V1146" s="57"/>
      <c r="W1146" s="57"/>
      <c r="X1146" s="57"/>
      <c r="Y1146" s="98"/>
      <c r="AA1146" s="98"/>
      <c r="AR1146" s="98"/>
      <c r="AS1146" s="57"/>
      <c r="AU1146" s="57"/>
      <c r="BF1146" s="98"/>
      <c r="BG1146" s="98"/>
      <c r="BH1146" s="98"/>
      <c r="BI1146" s="98"/>
      <c r="BJ1146" s="98"/>
      <c r="BK1146" s="98"/>
      <c r="BL1146" s="98"/>
      <c r="BM1146" s="57"/>
    </row>
    <row r="1147" spans="1:65" ht="11.25" x14ac:dyDescent="0.2">
      <c r="A1147" s="57"/>
      <c r="B1147" s="57"/>
      <c r="C1147" s="57"/>
      <c r="D1147" s="57"/>
      <c r="E1147" s="57"/>
      <c r="F1147" s="57"/>
      <c r="G1147" s="57"/>
      <c r="H1147" s="57"/>
      <c r="I1147" s="57"/>
      <c r="J1147" s="57"/>
      <c r="L1147" s="57"/>
      <c r="M1147" s="57"/>
      <c r="N1147" s="57"/>
      <c r="O1147" s="57"/>
      <c r="P1147" s="57"/>
      <c r="Q1147" s="57"/>
      <c r="R1147" s="57"/>
      <c r="S1147" s="57"/>
      <c r="T1147" s="57"/>
      <c r="U1147" s="57"/>
      <c r="V1147" s="57"/>
      <c r="W1147" s="57"/>
      <c r="X1147" s="57"/>
      <c r="Y1147" s="98"/>
      <c r="AA1147" s="98"/>
      <c r="AR1147" s="98"/>
      <c r="AS1147" s="57"/>
      <c r="AU1147" s="57"/>
      <c r="BF1147" s="98"/>
      <c r="BG1147" s="98"/>
      <c r="BH1147" s="98"/>
      <c r="BI1147" s="98"/>
      <c r="BJ1147" s="98"/>
      <c r="BK1147" s="98"/>
      <c r="BL1147" s="98"/>
      <c r="BM1147" s="57"/>
    </row>
    <row r="1148" spans="1:65" ht="11.25" x14ac:dyDescent="0.2">
      <c r="A1148" s="57"/>
      <c r="B1148" s="57"/>
      <c r="C1148" s="57"/>
      <c r="D1148" s="57"/>
      <c r="E1148" s="57"/>
      <c r="F1148" s="57"/>
      <c r="G1148" s="57"/>
      <c r="H1148" s="57"/>
      <c r="I1148" s="57"/>
      <c r="J1148" s="57"/>
      <c r="L1148" s="57"/>
      <c r="M1148" s="57"/>
      <c r="N1148" s="57"/>
      <c r="O1148" s="57"/>
      <c r="P1148" s="57"/>
      <c r="Q1148" s="57"/>
      <c r="R1148" s="57"/>
      <c r="S1148" s="57"/>
      <c r="T1148" s="57"/>
      <c r="U1148" s="57"/>
      <c r="V1148" s="57"/>
      <c r="W1148" s="57"/>
      <c r="X1148" s="57"/>
      <c r="Y1148" s="98"/>
      <c r="AA1148" s="98"/>
      <c r="AR1148" s="98"/>
      <c r="AS1148" s="57"/>
      <c r="AU1148" s="57"/>
      <c r="BF1148" s="98"/>
      <c r="BG1148" s="98"/>
      <c r="BH1148" s="98"/>
      <c r="BI1148" s="98"/>
      <c r="BJ1148" s="98"/>
      <c r="BK1148" s="98"/>
      <c r="BL1148" s="98"/>
      <c r="BM1148" s="57"/>
    </row>
    <row r="1149" spans="1:65" ht="11.25" x14ac:dyDescent="0.2">
      <c r="A1149" s="57"/>
      <c r="B1149" s="57"/>
      <c r="C1149" s="57"/>
      <c r="D1149" s="57"/>
      <c r="E1149" s="57"/>
      <c r="F1149" s="57"/>
      <c r="G1149" s="57"/>
      <c r="H1149" s="57"/>
      <c r="I1149" s="57"/>
      <c r="J1149" s="57"/>
      <c r="L1149" s="57"/>
      <c r="M1149" s="57"/>
      <c r="N1149" s="57"/>
      <c r="O1149" s="57"/>
      <c r="P1149" s="57"/>
      <c r="Q1149" s="57"/>
      <c r="R1149" s="57"/>
      <c r="S1149" s="57"/>
      <c r="T1149" s="57"/>
      <c r="U1149" s="57"/>
      <c r="V1149" s="57"/>
      <c r="W1149" s="57"/>
      <c r="X1149" s="57"/>
      <c r="Y1149" s="98"/>
      <c r="AA1149" s="98"/>
      <c r="AR1149" s="98"/>
      <c r="AS1149" s="57"/>
      <c r="AU1149" s="57"/>
      <c r="BF1149" s="98"/>
      <c r="BG1149" s="98"/>
      <c r="BH1149" s="98"/>
      <c r="BI1149" s="98"/>
      <c r="BJ1149" s="98"/>
      <c r="BK1149" s="98"/>
      <c r="BL1149" s="98"/>
      <c r="BM1149" s="57"/>
    </row>
    <row r="1150" spans="1:65" ht="11.25" x14ac:dyDescent="0.2">
      <c r="A1150" s="57"/>
      <c r="B1150" s="57"/>
      <c r="C1150" s="57"/>
      <c r="D1150" s="57"/>
      <c r="E1150" s="57"/>
      <c r="F1150" s="57"/>
      <c r="G1150" s="57"/>
      <c r="H1150" s="57"/>
      <c r="I1150" s="57"/>
      <c r="J1150" s="57"/>
      <c r="L1150" s="57"/>
      <c r="M1150" s="57"/>
      <c r="N1150" s="57"/>
      <c r="O1150" s="57"/>
      <c r="P1150" s="57"/>
      <c r="Q1150" s="57"/>
      <c r="R1150" s="57"/>
      <c r="S1150" s="57"/>
      <c r="T1150" s="57"/>
      <c r="U1150" s="57"/>
      <c r="V1150" s="57"/>
      <c r="W1150" s="57"/>
      <c r="X1150" s="57"/>
      <c r="Y1150" s="98"/>
      <c r="AA1150" s="98"/>
      <c r="AR1150" s="98"/>
      <c r="AS1150" s="57"/>
      <c r="AU1150" s="57"/>
      <c r="BF1150" s="98"/>
      <c r="BG1150" s="98"/>
      <c r="BH1150" s="98"/>
      <c r="BI1150" s="98"/>
      <c r="BJ1150" s="98"/>
      <c r="BK1150" s="98"/>
      <c r="BL1150" s="98"/>
      <c r="BM1150" s="57"/>
    </row>
    <row r="1151" spans="1:65" ht="11.25" x14ac:dyDescent="0.2">
      <c r="A1151" s="57"/>
      <c r="B1151" s="57"/>
      <c r="C1151" s="57"/>
      <c r="D1151" s="57"/>
      <c r="E1151" s="57"/>
      <c r="F1151" s="57"/>
      <c r="G1151" s="57"/>
      <c r="H1151" s="57"/>
      <c r="I1151" s="57"/>
      <c r="J1151" s="57"/>
      <c r="L1151" s="57"/>
      <c r="M1151" s="57"/>
      <c r="N1151" s="57"/>
      <c r="O1151" s="57"/>
      <c r="P1151" s="57"/>
      <c r="Q1151" s="57"/>
      <c r="R1151" s="57"/>
      <c r="S1151" s="57"/>
      <c r="T1151" s="57"/>
      <c r="U1151" s="57"/>
      <c r="V1151" s="57"/>
      <c r="W1151" s="57"/>
      <c r="X1151" s="57"/>
      <c r="Y1151" s="98"/>
      <c r="AA1151" s="98"/>
      <c r="AR1151" s="98"/>
      <c r="AS1151" s="57"/>
      <c r="AU1151" s="57"/>
      <c r="BF1151" s="98"/>
      <c r="BG1151" s="98"/>
      <c r="BH1151" s="98"/>
      <c r="BI1151" s="98"/>
      <c r="BJ1151" s="98"/>
      <c r="BK1151" s="98"/>
      <c r="BL1151" s="98"/>
      <c r="BM1151" s="57"/>
    </row>
    <row r="1152" spans="1:65" ht="11.25" x14ac:dyDescent="0.2">
      <c r="A1152" s="57"/>
      <c r="B1152" s="57"/>
      <c r="C1152" s="57"/>
      <c r="D1152" s="57"/>
      <c r="E1152" s="57"/>
      <c r="F1152" s="57"/>
      <c r="G1152" s="57"/>
      <c r="H1152" s="57"/>
      <c r="I1152" s="57"/>
      <c r="J1152" s="57"/>
      <c r="L1152" s="57"/>
      <c r="M1152" s="57"/>
      <c r="N1152" s="57"/>
      <c r="O1152" s="57"/>
      <c r="P1152" s="57"/>
      <c r="Q1152" s="57"/>
      <c r="R1152" s="57"/>
      <c r="S1152" s="57"/>
      <c r="T1152" s="57"/>
      <c r="U1152" s="57"/>
      <c r="V1152" s="57"/>
      <c r="W1152" s="57"/>
      <c r="X1152" s="57"/>
      <c r="Y1152" s="98"/>
      <c r="AA1152" s="98"/>
      <c r="AR1152" s="98"/>
      <c r="AS1152" s="57"/>
      <c r="AU1152" s="57"/>
      <c r="BF1152" s="98"/>
      <c r="BG1152" s="98"/>
      <c r="BH1152" s="98"/>
      <c r="BI1152" s="98"/>
      <c r="BJ1152" s="98"/>
      <c r="BK1152" s="98"/>
      <c r="BL1152" s="98"/>
      <c r="BM1152" s="57"/>
    </row>
    <row r="1153" spans="1:65" ht="11.25" x14ac:dyDescent="0.2">
      <c r="A1153" s="57"/>
      <c r="B1153" s="57"/>
      <c r="C1153" s="57"/>
      <c r="D1153" s="57"/>
      <c r="E1153" s="57"/>
      <c r="F1153" s="57"/>
      <c r="G1153" s="57"/>
      <c r="H1153" s="57"/>
      <c r="I1153" s="57"/>
      <c r="J1153" s="57"/>
      <c r="L1153" s="57"/>
      <c r="M1153" s="57"/>
      <c r="N1153" s="57"/>
      <c r="O1153" s="57"/>
      <c r="P1153" s="57"/>
      <c r="Q1153" s="57"/>
      <c r="R1153" s="57"/>
      <c r="S1153" s="57"/>
      <c r="T1153" s="57"/>
      <c r="U1153" s="57"/>
      <c r="V1153" s="57"/>
      <c r="W1153" s="57"/>
      <c r="X1153" s="57"/>
      <c r="Y1153" s="98"/>
      <c r="AA1153" s="98"/>
      <c r="AR1153" s="98"/>
      <c r="AS1153" s="57"/>
      <c r="AU1153" s="57"/>
      <c r="BF1153" s="98"/>
      <c r="BG1153" s="98"/>
      <c r="BH1153" s="98"/>
      <c r="BI1153" s="98"/>
      <c r="BJ1153" s="98"/>
      <c r="BK1153" s="98"/>
      <c r="BL1153" s="98"/>
      <c r="BM1153" s="57"/>
    </row>
    <row r="1154" spans="1:65" ht="11.25" x14ac:dyDescent="0.2">
      <c r="A1154" s="57"/>
      <c r="B1154" s="57"/>
      <c r="C1154" s="57"/>
      <c r="D1154" s="57"/>
      <c r="E1154" s="57"/>
      <c r="F1154" s="57"/>
      <c r="G1154" s="57"/>
      <c r="H1154" s="57"/>
      <c r="I1154" s="57"/>
      <c r="J1154" s="57"/>
      <c r="L1154" s="57"/>
      <c r="M1154" s="57"/>
      <c r="N1154" s="57"/>
      <c r="O1154" s="57"/>
      <c r="P1154" s="57"/>
      <c r="Q1154" s="57"/>
      <c r="R1154" s="57"/>
      <c r="S1154" s="57"/>
      <c r="T1154" s="57"/>
      <c r="U1154" s="57"/>
      <c r="V1154" s="57"/>
      <c r="W1154" s="57"/>
      <c r="X1154" s="57"/>
      <c r="Y1154" s="98"/>
      <c r="AA1154" s="98"/>
      <c r="AR1154" s="98"/>
      <c r="AS1154" s="57"/>
      <c r="AU1154" s="57"/>
      <c r="BF1154" s="98"/>
      <c r="BG1154" s="98"/>
      <c r="BH1154" s="98"/>
      <c r="BI1154" s="98"/>
      <c r="BJ1154" s="98"/>
      <c r="BK1154" s="98"/>
      <c r="BL1154" s="98"/>
      <c r="BM1154" s="57"/>
    </row>
    <row r="1155" spans="1:65" ht="11.25" x14ac:dyDescent="0.2">
      <c r="A1155" s="57"/>
      <c r="B1155" s="57"/>
      <c r="C1155" s="57"/>
      <c r="D1155" s="57"/>
      <c r="E1155" s="57"/>
      <c r="F1155" s="57"/>
      <c r="G1155" s="57"/>
      <c r="H1155" s="57"/>
      <c r="I1155" s="57"/>
      <c r="J1155" s="57"/>
      <c r="L1155" s="57"/>
      <c r="M1155" s="57"/>
      <c r="N1155" s="57"/>
      <c r="O1155" s="57"/>
      <c r="P1155" s="57"/>
      <c r="Q1155" s="57"/>
      <c r="R1155" s="57"/>
      <c r="S1155" s="57"/>
      <c r="T1155" s="57"/>
      <c r="U1155" s="57"/>
      <c r="V1155" s="57"/>
      <c r="W1155" s="57"/>
      <c r="X1155" s="57"/>
      <c r="Y1155" s="98"/>
      <c r="AA1155" s="98"/>
      <c r="AR1155" s="98"/>
      <c r="AS1155" s="57"/>
      <c r="AU1155" s="57"/>
      <c r="BF1155" s="98"/>
      <c r="BG1155" s="98"/>
      <c r="BH1155" s="98"/>
      <c r="BI1155" s="98"/>
      <c r="BJ1155" s="98"/>
      <c r="BK1155" s="98"/>
      <c r="BL1155" s="98"/>
      <c r="BM1155" s="57"/>
    </row>
    <row r="1156" spans="1:65" ht="11.25" x14ac:dyDescent="0.2">
      <c r="A1156" s="57"/>
      <c r="B1156" s="57"/>
      <c r="C1156" s="57"/>
      <c r="D1156" s="57"/>
      <c r="E1156" s="57"/>
      <c r="F1156" s="57"/>
      <c r="G1156" s="57"/>
      <c r="H1156" s="57"/>
      <c r="I1156" s="57"/>
      <c r="J1156" s="57"/>
      <c r="L1156" s="57"/>
      <c r="M1156" s="57"/>
      <c r="N1156" s="57"/>
      <c r="O1156" s="57"/>
      <c r="P1156" s="57"/>
      <c r="Q1156" s="57"/>
      <c r="R1156" s="57"/>
      <c r="S1156" s="57"/>
      <c r="T1156" s="57"/>
      <c r="U1156" s="57"/>
      <c r="V1156" s="57"/>
      <c r="W1156" s="57"/>
      <c r="X1156" s="57"/>
      <c r="Y1156" s="98"/>
      <c r="AA1156" s="98"/>
      <c r="AR1156" s="98"/>
      <c r="AS1156" s="57"/>
      <c r="AU1156" s="57"/>
      <c r="BF1156" s="98"/>
      <c r="BG1156" s="98"/>
      <c r="BH1156" s="98"/>
      <c r="BI1156" s="98"/>
      <c r="BJ1156" s="98"/>
      <c r="BK1156" s="98"/>
      <c r="BL1156" s="98"/>
      <c r="BM1156" s="57"/>
    </row>
    <row r="1157" spans="1:65" ht="11.25" x14ac:dyDescent="0.2">
      <c r="A1157" s="57"/>
      <c r="B1157" s="57"/>
      <c r="C1157" s="57"/>
      <c r="D1157" s="57"/>
      <c r="E1157" s="57"/>
      <c r="F1157" s="57"/>
      <c r="G1157" s="57"/>
      <c r="H1157" s="57"/>
      <c r="I1157" s="57"/>
      <c r="J1157" s="57"/>
      <c r="L1157" s="57"/>
      <c r="M1157" s="57"/>
      <c r="N1157" s="57"/>
      <c r="O1157" s="57"/>
      <c r="P1157" s="57"/>
      <c r="Q1157" s="57"/>
      <c r="R1157" s="57"/>
      <c r="S1157" s="57"/>
      <c r="T1157" s="57"/>
      <c r="U1157" s="57"/>
      <c r="V1157" s="57"/>
      <c r="W1157" s="57"/>
      <c r="X1157" s="57"/>
      <c r="Y1157" s="98"/>
      <c r="AA1157" s="98"/>
      <c r="AR1157" s="98"/>
      <c r="AS1157" s="57"/>
      <c r="AU1157" s="57"/>
      <c r="BF1157" s="98"/>
      <c r="BG1157" s="98"/>
      <c r="BH1157" s="98"/>
      <c r="BI1157" s="98"/>
      <c r="BJ1157" s="98"/>
      <c r="BK1157" s="98"/>
      <c r="BL1157" s="98"/>
      <c r="BM1157" s="57"/>
    </row>
    <row r="1158" spans="1:65" ht="11.25" x14ac:dyDescent="0.2">
      <c r="A1158" s="57"/>
      <c r="B1158" s="57"/>
      <c r="C1158" s="57"/>
      <c r="D1158" s="57"/>
      <c r="E1158" s="57"/>
      <c r="F1158" s="57"/>
      <c r="G1158" s="57"/>
      <c r="H1158" s="57"/>
      <c r="I1158" s="57"/>
      <c r="J1158" s="57"/>
      <c r="L1158" s="57"/>
      <c r="M1158" s="57"/>
      <c r="N1158" s="57"/>
      <c r="O1158" s="57"/>
      <c r="P1158" s="57"/>
      <c r="Q1158" s="57"/>
      <c r="R1158" s="57"/>
      <c r="S1158" s="57"/>
      <c r="T1158" s="57"/>
      <c r="U1158" s="57"/>
      <c r="V1158" s="57"/>
      <c r="W1158" s="57"/>
      <c r="X1158" s="57"/>
      <c r="Y1158" s="98"/>
      <c r="AA1158" s="98"/>
      <c r="AR1158" s="98"/>
      <c r="AS1158" s="57"/>
      <c r="AU1158" s="57"/>
      <c r="BF1158" s="98"/>
      <c r="BG1158" s="98"/>
      <c r="BH1158" s="98"/>
      <c r="BI1158" s="98"/>
      <c r="BJ1158" s="98"/>
      <c r="BK1158" s="98"/>
      <c r="BL1158" s="98"/>
      <c r="BM1158" s="57"/>
    </row>
    <row r="1159" spans="1:65" ht="11.25" x14ac:dyDescent="0.2">
      <c r="A1159" s="57"/>
      <c r="B1159" s="57"/>
      <c r="C1159" s="57"/>
      <c r="D1159" s="57"/>
      <c r="E1159" s="57"/>
      <c r="F1159" s="57"/>
      <c r="G1159" s="57"/>
      <c r="H1159" s="57"/>
      <c r="I1159" s="57"/>
      <c r="J1159" s="57"/>
      <c r="L1159" s="57"/>
      <c r="M1159" s="57"/>
      <c r="N1159" s="57"/>
      <c r="O1159" s="57"/>
      <c r="P1159" s="57"/>
      <c r="Q1159" s="57"/>
      <c r="R1159" s="57"/>
      <c r="S1159" s="57"/>
      <c r="T1159" s="57"/>
      <c r="U1159" s="57"/>
      <c r="V1159" s="57"/>
      <c r="W1159" s="57"/>
      <c r="X1159" s="57"/>
      <c r="Y1159" s="98"/>
      <c r="AA1159" s="98"/>
      <c r="AR1159" s="98"/>
      <c r="AS1159" s="57"/>
      <c r="AU1159" s="57"/>
      <c r="BF1159" s="98"/>
      <c r="BG1159" s="98"/>
      <c r="BH1159" s="98"/>
      <c r="BI1159" s="98"/>
      <c r="BJ1159" s="98"/>
      <c r="BK1159" s="98"/>
      <c r="BL1159" s="98"/>
      <c r="BM1159" s="57"/>
    </row>
    <row r="1160" spans="1:65" ht="11.25" x14ac:dyDescent="0.2">
      <c r="A1160" s="57"/>
      <c r="B1160" s="57"/>
      <c r="C1160" s="57"/>
      <c r="D1160" s="57"/>
      <c r="E1160" s="57"/>
      <c r="F1160" s="57"/>
      <c r="G1160" s="57"/>
      <c r="H1160" s="57"/>
      <c r="I1160" s="57"/>
      <c r="J1160" s="57"/>
      <c r="L1160" s="57"/>
      <c r="M1160" s="57"/>
      <c r="N1160" s="57"/>
      <c r="O1160" s="57"/>
      <c r="P1160" s="57"/>
      <c r="Q1160" s="57"/>
      <c r="R1160" s="57"/>
      <c r="S1160" s="57"/>
      <c r="T1160" s="57"/>
      <c r="U1160" s="57"/>
      <c r="V1160" s="57"/>
      <c r="W1160" s="57"/>
      <c r="X1160" s="57"/>
      <c r="Y1160" s="98"/>
      <c r="AA1160" s="98"/>
      <c r="AR1160" s="98"/>
      <c r="AS1160" s="57"/>
      <c r="AU1160" s="57"/>
      <c r="BF1160" s="98"/>
      <c r="BG1160" s="98"/>
      <c r="BH1160" s="98"/>
      <c r="BI1160" s="98"/>
      <c r="BJ1160" s="98"/>
      <c r="BK1160" s="98"/>
      <c r="BL1160" s="98"/>
      <c r="BM1160" s="57"/>
    </row>
    <row r="1161" spans="1:65" ht="11.25" x14ac:dyDescent="0.2">
      <c r="A1161" s="57"/>
      <c r="B1161" s="57"/>
      <c r="C1161" s="57"/>
      <c r="D1161" s="57"/>
      <c r="E1161" s="57"/>
      <c r="F1161" s="57"/>
      <c r="G1161" s="57"/>
      <c r="H1161" s="57"/>
      <c r="I1161" s="57"/>
      <c r="J1161" s="57"/>
      <c r="L1161" s="57"/>
      <c r="M1161" s="57"/>
      <c r="N1161" s="57"/>
      <c r="O1161" s="57"/>
      <c r="P1161" s="57"/>
      <c r="Q1161" s="57"/>
      <c r="R1161" s="57"/>
      <c r="S1161" s="57"/>
      <c r="T1161" s="57"/>
      <c r="U1161" s="57"/>
      <c r="V1161" s="57"/>
      <c r="W1161" s="57"/>
      <c r="X1161" s="57"/>
      <c r="Y1161" s="98"/>
      <c r="AA1161" s="98"/>
      <c r="AR1161" s="98"/>
      <c r="AS1161" s="57"/>
      <c r="AU1161" s="57"/>
      <c r="BF1161" s="98"/>
      <c r="BG1161" s="98"/>
      <c r="BH1161" s="98"/>
      <c r="BI1161" s="98"/>
      <c r="BJ1161" s="98"/>
      <c r="BK1161" s="98"/>
      <c r="BL1161" s="98"/>
      <c r="BM1161" s="57"/>
    </row>
    <row r="1162" spans="1:65" ht="11.25" x14ac:dyDescent="0.2">
      <c r="A1162" s="57"/>
      <c r="B1162" s="57"/>
      <c r="C1162" s="57"/>
      <c r="D1162" s="57"/>
      <c r="E1162" s="57"/>
      <c r="F1162" s="57"/>
      <c r="G1162" s="57"/>
      <c r="H1162" s="57"/>
      <c r="I1162" s="57"/>
      <c r="J1162" s="57"/>
      <c r="L1162" s="57"/>
      <c r="M1162" s="57"/>
      <c r="N1162" s="57"/>
      <c r="O1162" s="57"/>
      <c r="P1162" s="57"/>
      <c r="Q1162" s="57"/>
      <c r="R1162" s="57"/>
      <c r="S1162" s="57"/>
      <c r="T1162" s="57"/>
      <c r="U1162" s="57"/>
      <c r="V1162" s="57"/>
      <c r="W1162" s="57"/>
      <c r="X1162" s="57"/>
      <c r="Y1162" s="98"/>
      <c r="AA1162" s="98"/>
      <c r="AR1162" s="98"/>
      <c r="AS1162" s="57"/>
      <c r="AU1162" s="57"/>
      <c r="BF1162" s="98"/>
      <c r="BG1162" s="98"/>
      <c r="BH1162" s="98"/>
      <c r="BI1162" s="98"/>
      <c r="BJ1162" s="98"/>
      <c r="BK1162" s="98"/>
      <c r="BL1162" s="98"/>
      <c r="BM1162" s="57"/>
    </row>
    <row r="1163" spans="1:65" ht="11.25" x14ac:dyDescent="0.2">
      <c r="A1163" s="57"/>
      <c r="B1163" s="57"/>
      <c r="C1163" s="57"/>
      <c r="D1163" s="57"/>
      <c r="E1163" s="57"/>
      <c r="F1163" s="57"/>
      <c r="G1163" s="57"/>
      <c r="H1163" s="57"/>
      <c r="I1163" s="57"/>
      <c r="J1163" s="57"/>
      <c r="L1163" s="57"/>
      <c r="M1163" s="57"/>
      <c r="N1163" s="57"/>
      <c r="O1163" s="57"/>
      <c r="P1163" s="57"/>
      <c r="Q1163" s="57"/>
      <c r="R1163" s="57"/>
      <c r="S1163" s="57"/>
      <c r="T1163" s="57"/>
      <c r="U1163" s="57"/>
      <c r="V1163" s="57"/>
      <c r="W1163" s="57"/>
      <c r="X1163" s="57"/>
      <c r="Y1163" s="98"/>
      <c r="AA1163" s="98"/>
      <c r="AR1163" s="98"/>
      <c r="AS1163" s="57"/>
      <c r="AU1163" s="57"/>
      <c r="BF1163" s="98"/>
      <c r="BG1163" s="98"/>
      <c r="BH1163" s="98"/>
      <c r="BI1163" s="98"/>
      <c r="BJ1163" s="98"/>
      <c r="BK1163" s="98"/>
      <c r="BL1163" s="98"/>
      <c r="BM1163" s="57"/>
    </row>
    <row r="1164" spans="1:65" ht="11.25" x14ac:dyDescent="0.2">
      <c r="A1164" s="57"/>
      <c r="B1164" s="57"/>
      <c r="C1164" s="57"/>
      <c r="D1164" s="57"/>
      <c r="E1164" s="57"/>
      <c r="F1164" s="57"/>
      <c r="G1164" s="57"/>
      <c r="H1164" s="57"/>
      <c r="I1164" s="57"/>
      <c r="J1164" s="57"/>
      <c r="L1164" s="57"/>
      <c r="M1164" s="57"/>
      <c r="N1164" s="57"/>
      <c r="O1164" s="57"/>
      <c r="P1164" s="57"/>
      <c r="Q1164" s="57"/>
      <c r="R1164" s="57"/>
      <c r="S1164" s="57"/>
      <c r="T1164" s="57"/>
      <c r="U1164" s="57"/>
      <c r="V1164" s="57"/>
      <c r="W1164" s="57"/>
      <c r="X1164" s="57"/>
      <c r="Y1164" s="98"/>
      <c r="AA1164" s="98"/>
      <c r="AR1164" s="98"/>
      <c r="AS1164" s="57"/>
      <c r="AU1164" s="57"/>
      <c r="BF1164" s="98"/>
      <c r="BG1164" s="98"/>
      <c r="BH1164" s="98"/>
      <c r="BI1164" s="98"/>
      <c r="BJ1164" s="98"/>
      <c r="BK1164" s="98"/>
      <c r="BL1164" s="98"/>
      <c r="BM1164" s="57"/>
    </row>
    <row r="1165" spans="1:65" ht="11.25" x14ac:dyDescent="0.2">
      <c r="A1165" s="57"/>
      <c r="B1165" s="57"/>
      <c r="C1165" s="57"/>
      <c r="D1165" s="57"/>
      <c r="E1165" s="57"/>
      <c r="F1165" s="57"/>
      <c r="G1165" s="57"/>
      <c r="H1165" s="57"/>
      <c r="I1165" s="57"/>
      <c r="J1165" s="57"/>
      <c r="L1165" s="57"/>
      <c r="M1165" s="57"/>
      <c r="N1165" s="57"/>
      <c r="O1165" s="57"/>
      <c r="P1165" s="57"/>
      <c r="Q1165" s="57"/>
      <c r="R1165" s="57"/>
      <c r="S1165" s="57"/>
      <c r="T1165" s="57"/>
      <c r="U1165" s="57"/>
      <c r="V1165" s="57"/>
      <c r="W1165" s="57"/>
      <c r="X1165" s="57"/>
      <c r="Y1165" s="98"/>
      <c r="AA1165" s="98"/>
      <c r="AR1165" s="98"/>
      <c r="AS1165" s="57"/>
      <c r="AU1165" s="57"/>
      <c r="BF1165" s="98"/>
      <c r="BG1165" s="98"/>
      <c r="BH1165" s="98"/>
      <c r="BI1165" s="98"/>
      <c r="BJ1165" s="98"/>
      <c r="BK1165" s="98"/>
      <c r="BL1165" s="98"/>
      <c r="BM1165" s="57"/>
    </row>
    <row r="1166" spans="1:65" ht="11.25" x14ac:dyDescent="0.2">
      <c r="A1166" s="57"/>
      <c r="B1166" s="57"/>
      <c r="C1166" s="57"/>
      <c r="D1166" s="57"/>
      <c r="E1166" s="57"/>
      <c r="F1166" s="57"/>
      <c r="G1166" s="57"/>
      <c r="H1166" s="57"/>
      <c r="I1166" s="57"/>
      <c r="J1166" s="57"/>
      <c r="L1166" s="57"/>
      <c r="M1166" s="57"/>
      <c r="N1166" s="57"/>
      <c r="O1166" s="57"/>
      <c r="P1166" s="57"/>
      <c r="Q1166" s="57"/>
      <c r="R1166" s="57"/>
      <c r="S1166" s="57"/>
      <c r="T1166" s="57"/>
      <c r="U1166" s="57"/>
      <c r="V1166" s="57"/>
      <c r="W1166" s="57"/>
      <c r="X1166" s="57"/>
      <c r="Y1166" s="98"/>
      <c r="AA1166" s="98"/>
      <c r="AR1166" s="98"/>
      <c r="AS1166" s="57"/>
      <c r="AU1166" s="57"/>
      <c r="BF1166" s="98"/>
      <c r="BG1166" s="98"/>
      <c r="BH1166" s="98"/>
      <c r="BI1166" s="98"/>
      <c r="BJ1166" s="98"/>
      <c r="BK1166" s="98"/>
      <c r="BL1166" s="98"/>
      <c r="BM1166" s="57"/>
    </row>
    <row r="1167" spans="1:65" ht="11.25" x14ac:dyDescent="0.2">
      <c r="A1167" s="57"/>
      <c r="B1167" s="57"/>
      <c r="C1167" s="57"/>
      <c r="D1167" s="57"/>
      <c r="E1167" s="57"/>
      <c r="F1167" s="57"/>
      <c r="G1167" s="57"/>
      <c r="H1167" s="57"/>
      <c r="I1167" s="57"/>
      <c r="J1167" s="57"/>
      <c r="L1167" s="57"/>
      <c r="M1167" s="57"/>
      <c r="N1167" s="57"/>
      <c r="O1167" s="57"/>
      <c r="P1167" s="57"/>
      <c r="Q1167" s="57"/>
      <c r="R1167" s="57"/>
      <c r="S1167" s="57"/>
      <c r="T1167" s="57"/>
      <c r="U1167" s="57"/>
      <c r="V1167" s="57"/>
      <c r="W1167" s="57"/>
      <c r="X1167" s="57"/>
      <c r="Y1167" s="98"/>
      <c r="AA1167" s="98"/>
      <c r="AR1167" s="98"/>
      <c r="AS1167" s="57"/>
      <c r="AU1167" s="57"/>
      <c r="BF1167" s="98"/>
      <c r="BG1167" s="98"/>
      <c r="BH1167" s="98"/>
      <c r="BI1167" s="98"/>
      <c r="BJ1167" s="98"/>
      <c r="BK1167" s="98"/>
      <c r="BL1167" s="98"/>
      <c r="BM1167" s="57"/>
    </row>
    <row r="1168" spans="1:65" ht="11.25" x14ac:dyDescent="0.2">
      <c r="A1168" s="57"/>
      <c r="B1168" s="57"/>
      <c r="C1168" s="57"/>
      <c r="D1168" s="57"/>
      <c r="E1168" s="57"/>
      <c r="F1168" s="57"/>
      <c r="G1168" s="57"/>
      <c r="H1168" s="57"/>
      <c r="I1168" s="57"/>
      <c r="J1168" s="57"/>
      <c r="L1168" s="57"/>
      <c r="M1168" s="57"/>
      <c r="N1168" s="57"/>
      <c r="O1168" s="57"/>
      <c r="P1168" s="57"/>
      <c r="Q1168" s="57"/>
      <c r="R1168" s="57"/>
      <c r="S1168" s="57"/>
      <c r="T1168" s="57"/>
      <c r="U1168" s="57"/>
      <c r="V1168" s="57"/>
      <c r="W1168" s="57"/>
      <c r="X1168" s="57"/>
      <c r="Y1168" s="98"/>
      <c r="AA1168" s="98"/>
      <c r="AR1168" s="98"/>
      <c r="AS1168" s="57"/>
      <c r="AU1168" s="57"/>
      <c r="BF1168" s="98"/>
      <c r="BG1168" s="98"/>
      <c r="BH1168" s="98"/>
      <c r="BI1168" s="98"/>
      <c r="BJ1168" s="98"/>
      <c r="BK1168" s="98"/>
      <c r="BL1168" s="98"/>
      <c r="BM1168" s="57"/>
    </row>
    <row r="1169" spans="1:65" ht="11.25" x14ac:dyDescent="0.2">
      <c r="A1169" s="57"/>
      <c r="B1169" s="57"/>
      <c r="C1169" s="57"/>
      <c r="D1169" s="57"/>
      <c r="E1169" s="57"/>
      <c r="F1169" s="57"/>
      <c r="G1169" s="57"/>
      <c r="H1169" s="57"/>
      <c r="I1169" s="57"/>
      <c r="J1169" s="57"/>
      <c r="L1169" s="57"/>
      <c r="M1169" s="57"/>
      <c r="N1169" s="57"/>
      <c r="O1169" s="57"/>
      <c r="P1169" s="57"/>
      <c r="Q1169" s="57"/>
      <c r="R1169" s="57"/>
      <c r="S1169" s="57"/>
      <c r="T1169" s="57"/>
      <c r="U1169" s="57"/>
      <c r="V1169" s="57"/>
      <c r="W1169" s="57"/>
      <c r="X1169" s="57"/>
      <c r="Y1169" s="98"/>
      <c r="AA1169" s="98"/>
      <c r="AR1169" s="98"/>
      <c r="AS1169" s="57"/>
      <c r="AU1169" s="57"/>
      <c r="BF1169" s="98"/>
      <c r="BG1169" s="98"/>
      <c r="BH1169" s="98"/>
      <c r="BI1169" s="98"/>
      <c r="BJ1169" s="98"/>
      <c r="BK1169" s="98"/>
      <c r="BL1169" s="98"/>
      <c r="BM1169" s="57"/>
    </row>
    <row r="1170" spans="1:65" ht="11.25" x14ac:dyDescent="0.2">
      <c r="A1170" s="57"/>
      <c r="B1170" s="57"/>
      <c r="C1170" s="57"/>
      <c r="D1170" s="57"/>
      <c r="E1170" s="57"/>
      <c r="F1170" s="57"/>
      <c r="G1170" s="57"/>
      <c r="H1170" s="57"/>
      <c r="I1170" s="57"/>
      <c r="J1170" s="57"/>
      <c r="L1170" s="57"/>
      <c r="M1170" s="57"/>
      <c r="N1170" s="57"/>
      <c r="O1170" s="57"/>
      <c r="P1170" s="57"/>
      <c r="Q1170" s="57"/>
      <c r="R1170" s="57"/>
      <c r="S1170" s="57"/>
      <c r="T1170" s="57"/>
      <c r="U1170" s="57"/>
      <c r="V1170" s="57"/>
      <c r="W1170" s="57"/>
      <c r="X1170" s="57"/>
      <c r="Y1170" s="98"/>
      <c r="AA1170" s="98"/>
      <c r="AR1170" s="98"/>
      <c r="AS1170" s="57"/>
      <c r="AU1170" s="57"/>
      <c r="BF1170" s="98"/>
      <c r="BG1170" s="98"/>
      <c r="BH1170" s="98"/>
      <c r="BI1170" s="98"/>
      <c r="BJ1170" s="98"/>
      <c r="BK1170" s="98"/>
      <c r="BL1170" s="98"/>
      <c r="BM1170" s="57"/>
    </row>
    <row r="1171" spans="1:65" ht="11.25" x14ac:dyDescent="0.2">
      <c r="A1171" s="57"/>
      <c r="B1171" s="57"/>
      <c r="C1171" s="57"/>
      <c r="D1171" s="57"/>
      <c r="E1171" s="57"/>
      <c r="F1171" s="57"/>
      <c r="G1171" s="57"/>
      <c r="H1171" s="57"/>
      <c r="I1171" s="57"/>
      <c r="J1171" s="57"/>
      <c r="L1171" s="57"/>
      <c r="M1171" s="57"/>
      <c r="N1171" s="57"/>
      <c r="O1171" s="57"/>
      <c r="P1171" s="57"/>
      <c r="Q1171" s="57"/>
      <c r="R1171" s="57"/>
      <c r="S1171" s="57"/>
      <c r="T1171" s="57"/>
      <c r="U1171" s="57"/>
      <c r="V1171" s="57"/>
      <c r="W1171" s="57"/>
      <c r="X1171" s="57"/>
      <c r="Y1171" s="98"/>
      <c r="AA1171" s="98"/>
      <c r="AR1171" s="98"/>
      <c r="AS1171" s="57"/>
      <c r="AU1171" s="57"/>
      <c r="BF1171" s="98"/>
      <c r="BG1171" s="98"/>
      <c r="BH1171" s="98"/>
      <c r="BI1171" s="98"/>
      <c r="BJ1171" s="98"/>
      <c r="BK1171" s="98"/>
      <c r="BL1171" s="98"/>
      <c r="BM1171" s="57"/>
    </row>
    <row r="1172" spans="1:65" ht="11.25" x14ac:dyDescent="0.2">
      <c r="A1172" s="57"/>
      <c r="B1172" s="57"/>
      <c r="C1172" s="57"/>
      <c r="D1172" s="57"/>
      <c r="E1172" s="57"/>
      <c r="F1172" s="57"/>
      <c r="G1172" s="57"/>
      <c r="H1172" s="57"/>
      <c r="I1172" s="57"/>
      <c r="J1172" s="57"/>
      <c r="L1172" s="57"/>
      <c r="M1172" s="57"/>
      <c r="N1172" s="57"/>
      <c r="O1172" s="57"/>
      <c r="P1172" s="57"/>
      <c r="Q1172" s="57"/>
      <c r="R1172" s="57"/>
      <c r="S1172" s="57"/>
      <c r="T1172" s="57"/>
      <c r="U1172" s="57"/>
      <c r="V1172" s="57"/>
      <c r="W1172" s="57"/>
      <c r="X1172" s="57"/>
      <c r="Y1172" s="98"/>
      <c r="AA1172" s="98"/>
      <c r="AR1172" s="98"/>
      <c r="AS1172" s="57"/>
      <c r="AU1172" s="57"/>
      <c r="BF1172" s="98"/>
      <c r="BG1172" s="98"/>
      <c r="BH1172" s="98"/>
      <c r="BI1172" s="98"/>
      <c r="BJ1172" s="98"/>
      <c r="BK1172" s="98"/>
      <c r="BL1172" s="98"/>
      <c r="BM1172" s="57"/>
    </row>
    <row r="1173" spans="1:65" ht="11.25" x14ac:dyDescent="0.2">
      <c r="A1173" s="57"/>
      <c r="B1173" s="57"/>
      <c r="C1173" s="57"/>
      <c r="D1173" s="57"/>
      <c r="E1173" s="57"/>
      <c r="F1173" s="57"/>
      <c r="G1173" s="57"/>
      <c r="H1173" s="57"/>
      <c r="I1173" s="57"/>
      <c r="J1173" s="57"/>
      <c r="L1173" s="57"/>
      <c r="M1173" s="57"/>
      <c r="N1173" s="57"/>
      <c r="O1173" s="57"/>
      <c r="P1173" s="57"/>
      <c r="Q1173" s="57"/>
      <c r="R1173" s="57"/>
      <c r="S1173" s="57"/>
      <c r="T1173" s="57"/>
      <c r="U1173" s="57"/>
      <c r="V1173" s="57"/>
      <c r="W1173" s="57"/>
      <c r="X1173" s="57"/>
      <c r="Y1173" s="98"/>
      <c r="AA1173" s="98"/>
      <c r="AR1173" s="98"/>
      <c r="AS1173" s="57"/>
      <c r="AU1173" s="57"/>
      <c r="BF1173" s="98"/>
      <c r="BG1173" s="98"/>
      <c r="BH1173" s="98"/>
      <c r="BI1173" s="98"/>
      <c r="BJ1173" s="98"/>
      <c r="BK1173" s="98"/>
      <c r="BL1173" s="98"/>
      <c r="BM1173" s="57"/>
    </row>
    <row r="1174" spans="1:65" ht="11.25" x14ac:dyDescent="0.2">
      <c r="A1174" s="57"/>
      <c r="B1174" s="57"/>
      <c r="C1174" s="57"/>
      <c r="D1174" s="57"/>
      <c r="E1174" s="57"/>
      <c r="F1174" s="57"/>
      <c r="G1174" s="57"/>
      <c r="H1174" s="57"/>
      <c r="I1174" s="57"/>
      <c r="J1174" s="57"/>
      <c r="L1174" s="57"/>
      <c r="M1174" s="57"/>
      <c r="N1174" s="57"/>
      <c r="O1174" s="57"/>
      <c r="P1174" s="57"/>
      <c r="Q1174" s="57"/>
      <c r="R1174" s="57"/>
      <c r="S1174" s="57"/>
      <c r="T1174" s="57"/>
      <c r="U1174" s="57"/>
      <c r="V1174" s="57"/>
      <c r="W1174" s="57"/>
      <c r="X1174" s="57"/>
      <c r="Y1174" s="98"/>
      <c r="AA1174" s="98"/>
      <c r="AR1174" s="98"/>
      <c r="AS1174" s="57"/>
      <c r="AU1174" s="57"/>
      <c r="BF1174" s="98"/>
      <c r="BG1174" s="98"/>
      <c r="BH1174" s="98"/>
      <c r="BI1174" s="98"/>
      <c r="BJ1174" s="98"/>
      <c r="BK1174" s="98"/>
      <c r="BL1174" s="98"/>
      <c r="BM1174" s="57"/>
    </row>
    <row r="1175" spans="1:65" ht="11.25" x14ac:dyDescent="0.2">
      <c r="A1175" s="57"/>
      <c r="B1175" s="57"/>
      <c r="C1175" s="57"/>
      <c r="D1175" s="57"/>
      <c r="E1175" s="57"/>
      <c r="F1175" s="57"/>
      <c r="G1175" s="57"/>
      <c r="H1175" s="57"/>
      <c r="I1175" s="57"/>
      <c r="J1175" s="57"/>
      <c r="L1175" s="57"/>
      <c r="M1175" s="57"/>
      <c r="N1175" s="57"/>
      <c r="O1175" s="57"/>
      <c r="P1175" s="57"/>
      <c r="Q1175" s="57"/>
      <c r="R1175" s="57"/>
      <c r="S1175" s="57"/>
      <c r="T1175" s="57"/>
      <c r="U1175" s="57"/>
      <c r="V1175" s="57"/>
      <c r="W1175" s="57"/>
      <c r="X1175" s="57"/>
      <c r="Y1175" s="98"/>
      <c r="AA1175" s="98"/>
      <c r="AR1175" s="98"/>
      <c r="AS1175" s="57"/>
      <c r="AU1175" s="57"/>
      <c r="BF1175" s="98"/>
      <c r="BG1175" s="98"/>
      <c r="BH1175" s="98"/>
      <c r="BI1175" s="98"/>
      <c r="BJ1175" s="98"/>
      <c r="BK1175" s="98"/>
      <c r="BL1175" s="98"/>
      <c r="BM1175" s="57"/>
    </row>
    <row r="1176" spans="1:65" ht="11.25" x14ac:dyDescent="0.2">
      <c r="A1176" s="57"/>
      <c r="B1176" s="57"/>
      <c r="C1176" s="57"/>
      <c r="D1176" s="57"/>
      <c r="E1176" s="57"/>
      <c r="F1176" s="57"/>
      <c r="G1176" s="57"/>
      <c r="H1176" s="57"/>
      <c r="I1176" s="57"/>
      <c r="J1176" s="57"/>
      <c r="L1176" s="57"/>
      <c r="M1176" s="57"/>
      <c r="N1176" s="57"/>
      <c r="O1176" s="57"/>
      <c r="P1176" s="57"/>
      <c r="Q1176" s="57"/>
      <c r="R1176" s="57"/>
      <c r="S1176" s="57"/>
      <c r="T1176" s="57"/>
      <c r="U1176" s="57"/>
      <c r="V1176" s="57"/>
      <c r="W1176" s="57"/>
      <c r="X1176" s="57"/>
      <c r="Y1176" s="98"/>
      <c r="AA1176" s="98"/>
      <c r="AR1176" s="98"/>
      <c r="AS1176" s="57"/>
      <c r="AU1176" s="57"/>
      <c r="BF1176" s="98"/>
      <c r="BG1176" s="98"/>
      <c r="BH1176" s="98"/>
      <c r="BI1176" s="98"/>
      <c r="BJ1176" s="98"/>
      <c r="BK1176" s="98"/>
      <c r="BL1176" s="98"/>
      <c r="BM1176" s="57"/>
    </row>
    <row r="1177" spans="1:65" ht="11.25" x14ac:dyDescent="0.2">
      <c r="A1177" s="57"/>
      <c r="B1177" s="57"/>
      <c r="C1177" s="57"/>
      <c r="D1177" s="57"/>
      <c r="E1177" s="57"/>
      <c r="F1177" s="57"/>
      <c r="G1177" s="57"/>
      <c r="H1177" s="57"/>
      <c r="I1177" s="57"/>
      <c r="J1177" s="57"/>
      <c r="L1177" s="57"/>
      <c r="M1177" s="57"/>
      <c r="N1177" s="57"/>
      <c r="O1177" s="57"/>
      <c r="P1177" s="57"/>
      <c r="Q1177" s="57"/>
      <c r="R1177" s="57"/>
      <c r="S1177" s="57"/>
      <c r="T1177" s="57"/>
      <c r="U1177" s="57"/>
      <c r="V1177" s="57"/>
      <c r="W1177" s="57"/>
      <c r="X1177" s="57"/>
      <c r="Y1177" s="98"/>
      <c r="AA1177" s="98"/>
      <c r="AR1177" s="98"/>
      <c r="AS1177" s="57"/>
      <c r="AU1177" s="57"/>
      <c r="BF1177" s="98"/>
      <c r="BG1177" s="98"/>
      <c r="BH1177" s="98"/>
      <c r="BI1177" s="98"/>
      <c r="BJ1177" s="98"/>
      <c r="BK1177" s="98"/>
      <c r="BL1177" s="98"/>
      <c r="BM1177" s="57"/>
    </row>
    <row r="1178" spans="1:65" ht="11.25" x14ac:dyDescent="0.2">
      <c r="A1178" s="57"/>
      <c r="B1178" s="57"/>
      <c r="C1178" s="57"/>
      <c r="D1178" s="57"/>
      <c r="E1178" s="57"/>
      <c r="F1178" s="57"/>
      <c r="G1178" s="57"/>
      <c r="H1178" s="57"/>
      <c r="I1178" s="57"/>
      <c r="J1178" s="57"/>
      <c r="L1178" s="57"/>
      <c r="M1178" s="57"/>
      <c r="N1178" s="57"/>
      <c r="O1178" s="57"/>
      <c r="P1178" s="57"/>
      <c r="Q1178" s="57"/>
      <c r="R1178" s="57"/>
      <c r="S1178" s="57"/>
      <c r="T1178" s="57"/>
      <c r="U1178" s="57"/>
      <c r="V1178" s="57"/>
      <c r="W1178" s="57"/>
      <c r="X1178" s="57"/>
      <c r="Y1178" s="98"/>
      <c r="AA1178" s="98"/>
      <c r="AR1178" s="98"/>
      <c r="AS1178" s="57"/>
      <c r="AU1178" s="57"/>
      <c r="BF1178" s="98"/>
      <c r="BG1178" s="98"/>
      <c r="BH1178" s="98"/>
      <c r="BI1178" s="98"/>
      <c r="BJ1178" s="98"/>
      <c r="BK1178" s="98"/>
      <c r="BL1178" s="98"/>
      <c r="BM1178" s="57"/>
    </row>
    <row r="1179" spans="1:65" ht="11.25" x14ac:dyDescent="0.2">
      <c r="A1179" s="57"/>
      <c r="B1179" s="57"/>
      <c r="C1179" s="57"/>
      <c r="D1179" s="57"/>
      <c r="E1179" s="57"/>
      <c r="F1179" s="57"/>
      <c r="G1179" s="57"/>
      <c r="H1179" s="57"/>
      <c r="I1179" s="57"/>
      <c r="J1179" s="57"/>
      <c r="L1179" s="57"/>
      <c r="M1179" s="57"/>
      <c r="N1179" s="57"/>
      <c r="O1179" s="57"/>
      <c r="P1179" s="57"/>
      <c r="Q1179" s="57"/>
      <c r="R1179" s="57"/>
      <c r="S1179" s="57"/>
      <c r="T1179" s="57"/>
      <c r="U1179" s="57"/>
      <c r="V1179" s="57"/>
      <c r="W1179" s="57"/>
      <c r="X1179" s="57"/>
      <c r="Y1179" s="98"/>
      <c r="AA1179" s="98"/>
      <c r="AR1179" s="98"/>
      <c r="AS1179" s="57"/>
      <c r="AU1179" s="57"/>
      <c r="BF1179" s="98"/>
      <c r="BG1179" s="98"/>
      <c r="BH1179" s="98"/>
      <c r="BI1179" s="98"/>
      <c r="BJ1179" s="98"/>
      <c r="BK1179" s="98"/>
      <c r="BL1179" s="98"/>
      <c r="BM1179" s="57"/>
    </row>
    <row r="1180" spans="1:65" ht="11.25" x14ac:dyDescent="0.2">
      <c r="A1180" s="57"/>
      <c r="B1180" s="57"/>
      <c r="C1180" s="57"/>
      <c r="D1180" s="57"/>
      <c r="E1180" s="57"/>
      <c r="F1180" s="57"/>
      <c r="G1180" s="57"/>
      <c r="H1180" s="57"/>
      <c r="I1180" s="57"/>
      <c r="J1180" s="57"/>
      <c r="L1180" s="57"/>
      <c r="M1180" s="57"/>
      <c r="N1180" s="57"/>
      <c r="O1180" s="57"/>
      <c r="P1180" s="57"/>
      <c r="Q1180" s="57"/>
      <c r="R1180" s="57"/>
      <c r="S1180" s="57"/>
      <c r="T1180" s="57"/>
      <c r="U1180" s="57"/>
      <c r="V1180" s="57"/>
      <c r="W1180" s="57"/>
      <c r="X1180" s="57"/>
      <c r="Y1180" s="98"/>
      <c r="AA1180" s="98"/>
      <c r="AR1180" s="98"/>
      <c r="AS1180" s="57"/>
      <c r="AU1180" s="57"/>
      <c r="BF1180" s="98"/>
      <c r="BG1180" s="98"/>
      <c r="BH1180" s="98"/>
      <c r="BI1180" s="98"/>
      <c r="BJ1180" s="98"/>
      <c r="BK1180" s="98"/>
      <c r="BL1180" s="98"/>
      <c r="BM1180" s="57"/>
    </row>
    <row r="1181" spans="1:65" ht="11.25" x14ac:dyDescent="0.2">
      <c r="A1181" s="57"/>
      <c r="B1181" s="57"/>
      <c r="C1181" s="57"/>
      <c r="D1181" s="57"/>
      <c r="E1181" s="57"/>
      <c r="F1181" s="57"/>
      <c r="G1181" s="57"/>
      <c r="H1181" s="57"/>
      <c r="I1181" s="57"/>
      <c r="J1181" s="57"/>
      <c r="L1181" s="57"/>
      <c r="M1181" s="57"/>
      <c r="N1181" s="57"/>
      <c r="O1181" s="57"/>
      <c r="P1181" s="57"/>
      <c r="Q1181" s="57"/>
      <c r="R1181" s="57"/>
      <c r="S1181" s="57"/>
      <c r="T1181" s="57"/>
      <c r="U1181" s="57"/>
      <c r="V1181" s="57"/>
      <c r="W1181" s="57"/>
      <c r="X1181" s="57"/>
      <c r="Y1181" s="98"/>
      <c r="AA1181" s="98"/>
      <c r="AR1181" s="98"/>
      <c r="AS1181" s="57"/>
      <c r="AU1181" s="57"/>
      <c r="BF1181" s="98"/>
      <c r="BG1181" s="98"/>
      <c r="BH1181" s="98"/>
      <c r="BI1181" s="98"/>
      <c r="BJ1181" s="98"/>
      <c r="BK1181" s="98"/>
      <c r="BL1181" s="98"/>
      <c r="BM1181" s="57"/>
    </row>
    <row r="1182" spans="1:65" ht="11.25" x14ac:dyDescent="0.2">
      <c r="A1182" s="57"/>
      <c r="B1182" s="57"/>
      <c r="C1182" s="57"/>
      <c r="D1182" s="57"/>
      <c r="E1182" s="57"/>
      <c r="F1182" s="57"/>
      <c r="G1182" s="57"/>
      <c r="H1182" s="57"/>
      <c r="I1182" s="57"/>
      <c r="J1182" s="57"/>
      <c r="L1182" s="57"/>
      <c r="M1182" s="57"/>
      <c r="N1182" s="57"/>
      <c r="O1182" s="57"/>
      <c r="P1182" s="57"/>
      <c r="Q1182" s="57"/>
      <c r="R1182" s="57"/>
      <c r="S1182" s="57"/>
      <c r="T1182" s="57"/>
      <c r="U1182" s="57"/>
      <c r="V1182" s="57"/>
      <c r="W1182" s="57"/>
      <c r="X1182" s="57"/>
      <c r="Y1182" s="98"/>
      <c r="AA1182" s="98"/>
      <c r="AR1182" s="98"/>
      <c r="AS1182" s="57"/>
      <c r="AU1182" s="57"/>
      <c r="BF1182" s="98"/>
      <c r="BG1182" s="98"/>
      <c r="BH1182" s="98"/>
      <c r="BI1182" s="98"/>
      <c r="BJ1182" s="98"/>
      <c r="BK1182" s="98"/>
      <c r="BL1182" s="98"/>
      <c r="BM1182" s="57"/>
    </row>
    <row r="1183" spans="1:65" ht="11.25" x14ac:dyDescent="0.2">
      <c r="A1183" s="57"/>
      <c r="B1183" s="57"/>
      <c r="C1183" s="57"/>
      <c r="D1183" s="57"/>
      <c r="E1183" s="57"/>
      <c r="F1183" s="57"/>
      <c r="G1183" s="57"/>
      <c r="H1183" s="57"/>
      <c r="I1183" s="57"/>
      <c r="J1183" s="57"/>
      <c r="L1183" s="57"/>
      <c r="M1183" s="57"/>
      <c r="N1183" s="57"/>
      <c r="O1183" s="57"/>
      <c r="P1183" s="57"/>
      <c r="Q1183" s="57"/>
      <c r="R1183" s="57"/>
      <c r="S1183" s="57"/>
      <c r="T1183" s="57"/>
      <c r="U1183" s="57"/>
      <c r="V1183" s="57"/>
      <c r="W1183" s="57"/>
      <c r="X1183" s="57"/>
      <c r="Y1183" s="98"/>
      <c r="AA1183" s="98"/>
      <c r="AR1183" s="98"/>
      <c r="AS1183" s="57"/>
      <c r="AU1183" s="57"/>
      <c r="BF1183" s="98"/>
      <c r="BG1183" s="98"/>
      <c r="BH1183" s="98"/>
      <c r="BI1183" s="98"/>
      <c r="BJ1183" s="98"/>
      <c r="BK1183" s="98"/>
      <c r="BL1183" s="98"/>
      <c r="BM1183" s="57"/>
    </row>
    <row r="1184" spans="1:65" ht="11.25" x14ac:dyDescent="0.2">
      <c r="A1184" s="57"/>
      <c r="B1184" s="57"/>
      <c r="C1184" s="57"/>
      <c r="D1184" s="57"/>
      <c r="E1184" s="57"/>
      <c r="F1184" s="57"/>
      <c r="G1184" s="57"/>
      <c r="H1184" s="57"/>
      <c r="I1184" s="57"/>
      <c r="J1184" s="57"/>
      <c r="L1184" s="57"/>
      <c r="M1184" s="57"/>
      <c r="N1184" s="57"/>
      <c r="O1184" s="57"/>
      <c r="P1184" s="57"/>
      <c r="Q1184" s="57"/>
      <c r="R1184" s="57"/>
      <c r="S1184" s="57"/>
      <c r="T1184" s="57"/>
      <c r="U1184" s="57"/>
      <c r="V1184" s="57"/>
      <c r="W1184" s="57"/>
      <c r="X1184" s="57"/>
      <c r="Y1184" s="98"/>
      <c r="AA1184" s="98"/>
      <c r="AR1184" s="98"/>
      <c r="AS1184" s="57"/>
      <c r="AU1184" s="57"/>
      <c r="BF1184" s="98"/>
      <c r="BG1184" s="98"/>
      <c r="BH1184" s="98"/>
      <c r="BI1184" s="98"/>
      <c r="BJ1184" s="98"/>
      <c r="BK1184" s="98"/>
      <c r="BL1184" s="98"/>
      <c r="BM1184" s="57"/>
    </row>
    <row r="1185" spans="1:65" ht="11.25" x14ac:dyDescent="0.2">
      <c r="A1185" s="57"/>
      <c r="B1185" s="57"/>
      <c r="C1185" s="57"/>
      <c r="D1185" s="57"/>
      <c r="E1185" s="57"/>
      <c r="F1185" s="57"/>
      <c r="G1185" s="57"/>
      <c r="H1185" s="57"/>
      <c r="I1185" s="57"/>
      <c r="J1185" s="57"/>
      <c r="L1185" s="57"/>
      <c r="M1185" s="57"/>
      <c r="N1185" s="57"/>
      <c r="O1185" s="57"/>
      <c r="P1185" s="57"/>
      <c r="Q1185" s="57"/>
      <c r="R1185" s="57"/>
      <c r="S1185" s="57"/>
      <c r="T1185" s="57"/>
      <c r="U1185" s="57"/>
      <c r="V1185" s="57"/>
      <c r="W1185" s="57"/>
      <c r="X1185" s="57"/>
      <c r="Y1185" s="98"/>
      <c r="AA1185" s="98"/>
      <c r="AR1185" s="98"/>
      <c r="AS1185" s="57"/>
      <c r="AU1185" s="57"/>
      <c r="BF1185" s="98"/>
      <c r="BG1185" s="98"/>
      <c r="BH1185" s="98"/>
      <c r="BI1185" s="98"/>
      <c r="BJ1185" s="98"/>
      <c r="BK1185" s="98"/>
      <c r="BL1185" s="98"/>
      <c r="BM1185" s="57"/>
    </row>
    <row r="1186" spans="1:65" ht="11.25" x14ac:dyDescent="0.2">
      <c r="A1186" s="57"/>
      <c r="B1186" s="57"/>
      <c r="C1186" s="57"/>
      <c r="D1186" s="57"/>
      <c r="E1186" s="57"/>
      <c r="F1186" s="57"/>
      <c r="G1186" s="57"/>
      <c r="H1186" s="57"/>
      <c r="I1186" s="57"/>
      <c r="J1186" s="57"/>
      <c r="L1186" s="57"/>
      <c r="M1186" s="57"/>
      <c r="N1186" s="57"/>
      <c r="O1186" s="57"/>
      <c r="P1186" s="57"/>
      <c r="Q1186" s="57"/>
      <c r="R1186" s="57"/>
      <c r="S1186" s="57"/>
      <c r="T1186" s="57"/>
      <c r="U1186" s="57"/>
      <c r="V1186" s="57"/>
      <c r="W1186" s="57"/>
      <c r="X1186" s="57"/>
      <c r="Y1186" s="98"/>
      <c r="AA1186" s="98"/>
      <c r="AR1186" s="98"/>
      <c r="AS1186" s="57"/>
      <c r="AU1186" s="57"/>
      <c r="BF1186" s="98"/>
      <c r="BG1186" s="98"/>
      <c r="BH1186" s="98"/>
      <c r="BI1186" s="98"/>
      <c r="BJ1186" s="98"/>
      <c r="BK1186" s="98"/>
      <c r="BL1186" s="98"/>
      <c r="BM1186" s="57"/>
    </row>
    <row r="1187" spans="1:65" ht="11.25" x14ac:dyDescent="0.2">
      <c r="A1187" s="57"/>
      <c r="B1187" s="57"/>
      <c r="C1187" s="57"/>
      <c r="D1187" s="57"/>
      <c r="E1187" s="57"/>
      <c r="F1187" s="57"/>
      <c r="G1187" s="57"/>
      <c r="H1187" s="57"/>
      <c r="I1187" s="57"/>
      <c r="J1187" s="57"/>
      <c r="L1187" s="57"/>
      <c r="M1187" s="57"/>
      <c r="N1187" s="57"/>
      <c r="O1187" s="57"/>
      <c r="P1187" s="57"/>
      <c r="Q1187" s="57"/>
      <c r="R1187" s="57"/>
      <c r="S1187" s="57"/>
      <c r="T1187" s="57"/>
      <c r="U1187" s="57"/>
      <c r="V1187" s="57"/>
      <c r="W1187" s="57"/>
      <c r="X1187" s="57"/>
      <c r="Y1187" s="98"/>
      <c r="AA1187" s="98"/>
      <c r="AR1187" s="98"/>
      <c r="AS1187" s="57"/>
      <c r="AU1187" s="57"/>
      <c r="BF1187" s="98"/>
      <c r="BG1187" s="98"/>
      <c r="BH1187" s="98"/>
      <c r="BI1187" s="98"/>
      <c r="BJ1187" s="98"/>
      <c r="BK1187" s="98"/>
      <c r="BL1187" s="98"/>
      <c r="BM1187" s="57"/>
    </row>
    <row r="1188" spans="1:65" ht="11.25" x14ac:dyDescent="0.2">
      <c r="A1188" s="57"/>
      <c r="B1188" s="57"/>
      <c r="C1188" s="57"/>
      <c r="D1188" s="57"/>
      <c r="E1188" s="57"/>
      <c r="F1188" s="57"/>
      <c r="G1188" s="57"/>
      <c r="H1188" s="57"/>
      <c r="I1188" s="57"/>
      <c r="J1188" s="57"/>
      <c r="L1188" s="57"/>
      <c r="M1188" s="57"/>
      <c r="N1188" s="57"/>
      <c r="O1188" s="57"/>
      <c r="P1188" s="57"/>
      <c r="Q1188" s="57"/>
      <c r="R1188" s="57"/>
      <c r="S1188" s="57"/>
      <c r="T1188" s="57"/>
      <c r="U1188" s="57"/>
      <c r="V1188" s="57"/>
      <c r="W1188" s="57"/>
      <c r="X1188" s="57"/>
      <c r="Y1188" s="98"/>
      <c r="AA1188" s="98"/>
      <c r="AR1188" s="98"/>
      <c r="AS1188" s="57"/>
      <c r="AU1188" s="57"/>
      <c r="BF1188" s="98"/>
      <c r="BG1188" s="98"/>
      <c r="BH1188" s="98"/>
      <c r="BI1188" s="98"/>
      <c r="BJ1188" s="98"/>
      <c r="BK1188" s="98"/>
      <c r="BL1188" s="98"/>
      <c r="BM1188" s="57"/>
    </row>
    <row r="1189" spans="1:65" ht="11.25" x14ac:dyDescent="0.2">
      <c r="A1189" s="57"/>
      <c r="B1189" s="57"/>
      <c r="C1189" s="57"/>
      <c r="D1189" s="57"/>
      <c r="E1189" s="57"/>
      <c r="F1189" s="57"/>
      <c r="G1189" s="57"/>
      <c r="H1189" s="57"/>
      <c r="I1189" s="57"/>
      <c r="J1189" s="57"/>
      <c r="L1189" s="57"/>
      <c r="M1189" s="57"/>
      <c r="N1189" s="57"/>
      <c r="O1189" s="57"/>
      <c r="P1189" s="57"/>
      <c r="Q1189" s="57"/>
      <c r="R1189" s="57"/>
      <c r="S1189" s="57"/>
      <c r="T1189" s="57"/>
      <c r="U1189" s="57"/>
      <c r="V1189" s="57"/>
      <c r="W1189" s="57"/>
      <c r="X1189" s="57"/>
      <c r="Y1189" s="98"/>
      <c r="AA1189" s="98"/>
      <c r="AR1189" s="98"/>
      <c r="AS1189" s="57"/>
      <c r="AU1189" s="57"/>
      <c r="BF1189" s="98"/>
      <c r="BG1189" s="98"/>
      <c r="BH1189" s="98"/>
      <c r="BI1189" s="98"/>
      <c r="BJ1189" s="98"/>
      <c r="BK1189" s="98"/>
      <c r="BL1189" s="98"/>
      <c r="BM1189" s="57"/>
    </row>
    <row r="1190" spans="1:65" ht="11.25" x14ac:dyDescent="0.2">
      <c r="A1190" s="57"/>
      <c r="B1190" s="57"/>
      <c r="C1190" s="57"/>
      <c r="D1190" s="57"/>
      <c r="E1190" s="57"/>
      <c r="F1190" s="57"/>
      <c r="G1190" s="57"/>
      <c r="H1190" s="57"/>
      <c r="I1190" s="57"/>
      <c r="J1190" s="57"/>
      <c r="L1190" s="57"/>
      <c r="M1190" s="57"/>
      <c r="N1190" s="57"/>
      <c r="O1190" s="57"/>
      <c r="P1190" s="57"/>
      <c r="Q1190" s="57"/>
      <c r="R1190" s="57"/>
      <c r="S1190" s="57"/>
      <c r="T1190" s="57"/>
      <c r="U1190" s="57"/>
      <c r="V1190" s="57"/>
      <c r="W1190" s="57"/>
      <c r="X1190" s="57"/>
      <c r="Y1190" s="98"/>
      <c r="AA1190" s="98"/>
      <c r="AR1190" s="98"/>
      <c r="AS1190" s="57"/>
      <c r="AU1190" s="57"/>
      <c r="BF1190" s="98"/>
      <c r="BG1190" s="98"/>
      <c r="BH1190" s="98"/>
      <c r="BI1190" s="98"/>
      <c r="BJ1190" s="98"/>
      <c r="BK1190" s="98"/>
      <c r="BL1190" s="98"/>
      <c r="BM1190" s="57"/>
    </row>
    <row r="1191" spans="1:65" ht="11.25" x14ac:dyDescent="0.2">
      <c r="A1191" s="57"/>
      <c r="B1191" s="57"/>
      <c r="C1191" s="57"/>
      <c r="D1191" s="57"/>
      <c r="E1191" s="57"/>
      <c r="F1191" s="57"/>
      <c r="G1191" s="57"/>
      <c r="H1191" s="57"/>
      <c r="I1191" s="57"/>
      <c r="J1191" s="57"/>
      <c r="L1191" s="57"/>
      <c r="M1191" s="57"/>
      <c r="N1191" s="57"/>
      <c r="O1191" s="57"/>
      <c r="P1191" s="57"/>
      <c r="Q1191" s="57"/>
      <c r="R1191" s="57"/>
      <c r="S1191" s="57"/>
      <c r="T1191" s="57"/>
      <c r="U1191" s="57"/>
      <c r="V1191" s="57"/>
      <c r="W1191" s="57"/>
      <c r="X1191" s="57"/>
      <c r="Y1191" s="98"/>
      <c r="AA1191" s="98"/>
      <c r="AR1191" s="98"/>
      <c r="AS1191" s="57"/>
      <c r="AU1191" s="57"/>
      <c r="BF1191" s="98"/>
      <c r="BG1191" s="98"/>
      <c r="BH1191" s="98"/>
      <c r="BI1191" s="98"/>
      <c r="BJ1191" s="98"/>
      <c r="BK1191" s="98"/>
      <c r="BL1191" s="98"/>
      <c r="BM1191" s="57"/>
    </row>
    <row r="1192" spans="1:65" ht="11.25" x14ac:dyDescent="0.2">
      <c r="A1192" s="57"/>
      <c r="B1192" s="57"/>
      <c r="C1192" s="57"/>
      <c r="D1192" s="57"/>
      <c r="E1192" s="57"/>
      <c r="F1192" s="57"/>
      <c r="G1192" s="57"/>
      <c r="H1192" s="57"/>
      <c r="I1192" s="57"/>
      <c r="J1192" s="57"/>
      <c r="L1192" s="57"/>
      <c r="M1192" s="57"/>
      <c r="N1192" s="57"/>
      <c r="O1192" s="57"/>
      <c r="P1192" s="57"/>
      <c r="Q1192" s="57"/>
      <c r="R1192" s="57"/>
      <c r="S1192" s="57"/>
      <c r="T1192" s="57"/>
      <c r="U1192" s="57"/>
      <c r="V1192" s="57"/>
      <c r="W1192" s="57"/>
      <c r="X1192" s="57"/>
      <c r="Y1192" s="98"/>
      <c r="AA1192" s="98"/>
      <c r="AR1192" s="98"/>
      <c r="AS1192" s="57"/>
      <c r="AU1192" s="57"/>
      <c r="BF1192" s="98"/>
      <c r="BG1192" s="98"/>
      <c r="BH1192" s="98"/>
      <c r="BI1192" s="98"/>
      <c r="BJ1192" s="98"/>
      <c r="BK1192" s="98"/>
      <c r="BL1192" s="98"/>
      <c r="BM1192" s="57"/>
    </row>
    <row r="1193" spans="1:65" ht="11.25" x14ac:dyDescent="0.2">
      <c r="A1193" s="57"/>
      <c r="B1193" s="57"/>
      <c r="C1193" s="57"/>
      <c r="D1193" s="57"/>
      <c r="E1193" s="57"/>
      <c r="F1193" s="57"/>
      <c r="G1193" s="57"/>
      <c r="H1193" s="57"/>
      <c r="I1193" s="57"/>
      <c r="J1193" s="57"/>
      <c r="L1193" s="57"/>
      <c r="M1193" s="57"/>
      <c r="N1193" s="57"/>
      <c r="O1193" s="57"/>
      <c r="P1193" s="57"/>
      <c r="Q1193" s="57"/>
      <c r="R1193" s="57"/>
      <c r="S1193" s="57"/>
      <c r="T1193" s="57"/>
      <c r="U1193" s="57"/>
      <c r="V1193" s="57"/>
      <c r="W1193" s="57"/>
      <c r="X1193" s="57"/>
      <c r="Y1193" s="98"/>
      <c r="AA1193" s="98"/>
      <c r="AR1193" s="98"/>
      <c r="AS1193" s="57"/>
      <c r="AU1193" s="57"/>
      <c r="BF1193" s="98"/>
      <c r="BG1193" s="98"/>
      <c r="BH1193" s="98"/>
      <c r="BI1193" s="98"/>
      <c r="BJ1193" s="98"/>
      <c r="BK1193" s="98"/>
      <c r="BL1193" s="98"/>
      <c r="BM1193" s="57"/>
    </row>
    <row r="1194" spans="1:65" ht="11.25" x14ac:dyDescent="0.2">
      <c r="A1194" s="57"/>
      <c r="B1194" s="57"/>
      <c r="C1194" s="57"/>
      <c r="D1194" s="57"/>
      <c r="E1194" s="57"/>
      <c r="F1194" s="57"/>
      <c r="G1194" s="57"/>
      <c r="H1194" s="57"/>
      <c r="I1194" s="57"/>
      <c r="J1194" s="57"/>
      <c r="L1194" s="57"/>
      <c r="M1194" s="57"/>
      <c r="N1194" s="57"/>
      <c r="O1194" s="57"/>
      <c r="P1194" s="57"/>
      <c r="Q1194" s="57"/>
      <c r="R1194" s="57"/>
      <c r="S1194" s="57"/>
      <c r="T1194" s="57"/>
      <c r="U1194" s="57"/>
      <c r="V1194" s="57"/>
      <c r="W1194" s="57"/>
      <c r="X1194" s="57"/>
      <c r="Y1194" s="98"/>
      <c r="AA1194" s="98"/>
      <c r="AR1194" s="98"/>
      <c r="AS1194" s="57"/>
      <c r="AU1194" s="57"/>
      <c r="BF1194" s="98"/>
      <c r="BG1194" s="98"/>
      <c r="BH1194" s="98"/>
      <c r="BI1194" s="98"/>
      <c r="BJ1194" s="98"/>
      <c r="BK1194" s="98"/>
      <c r="BL1194" s="98"/>
      <c r="BM1194" s="57"/>
    </row>
    <row r="1195" spans="1:65" ht="11.25" x14ac:dyDescent="0.2">
      <c r="A1195" s="57"/>
      <c r="B1195" s="57"/>
      <c r="C1195" s="57"/>
      <c r="D1195" s="57"/>
      <c r="E1195" s="57"/>
      <c r="F1195" s="57"/>
      <c r="G1195" s="57"/>
      <c r="H1195" s="57"/>
      <c r="I1195" s="57"/>
      <c r="J1195" s="57"/>
      <c r="L1195" s="57"/>
      <c r="M1195" s="57"/>
      <c r="N1195" s="57"/>
      <c r="O1195" s="57"/>
      <c r="P1195" s="57"/>
      <c r="Q1195" s="57"/>
      <c r="R1195" s="57"/>
      <c r="S1195" s="57"/>
      <c r="T1195" s="57"/>
      <c r="U1195" s="57"/>
      <c r="V1195" s="57"/>
      <c r="W1195" s="57"/>
      <c r="X1195" s="57"/>
      <c r="Y1195" s="98"/>
      <c r="AA1195" s="98"/>
      <c r="AR1195" s="98"/>
      <c r="AS1195" s="57"/>
      <c r="AU1195" s="57"/>
      <c r="BF1195" s="98"/>
      <c r="BG1195" s="98"/>
      <c r="BH1195" s="98"/>
      <c r="BI1195" s="98"/>
      <c r="BJ1195" s="98"/>
      <c r="BK1195" s="98"/>
      <c r="BL1195" s="98"/>
      <c r="BM1195" s="57"/>
    </row>
    <row r="1196" spans="1:65" ht="11.25" x14ac:dyDescent="0.2">
      <c r="A1196" s="57"/>
      <c r="B1196" s="57"/>
      <c r="C1196" s="57"/>
      <c r="D1196" s="57"/>
      <c r="E1196" s="57"/>
      <c r="F1196" s="57"/>
      <c r="G1196" s="57"/>
      <c r="H1196" s="57"/>
      <c r="I1196" s="57"/>
      <c r="J1196" s="57"/>
      <c r="L1196" s="57"/>
      <c r="M1196" s="57"/>
      <c r="N1196" s="57"/>
      <c r="O1196" s="57"/>
      <c r="P1196" s="57"/>
      <c r="Q1196" s="57"/>
      <c r="R1196" s="57"/>
      <c r="S1196" s="57"/>
      <c r="T1196" s="57"/>
      <c r="U1196" s="57"/>
      <c r="V1196" s="57"/>
      <c r="W1196" s="57"/>
      <c r="X1196" s="57"/>
      <c r="Y1196" s="98"/>
      <c r="AA1196" s="98"/>
      <c r="AR1196" s="98"/>
      <c r="AS1196" s="57"/>
      <c r="AU1196" s="57"/>
      <c r="BF1196" s="98"/>
      <c r="BG1196" s="98"/>
      <c r="BH1196" s="98"/>
      <c r="BI1196" s="98"/>
      <c r="BJ1196" s="98"/>
      <c r="BK1196" s="98"/>
      <c r="BL1196" s="98"/>
      <c r="BM1196" s="57"/>
    </row>
    <row r="1197" spans="1:65" ht="11.25" x14ac:dyDescent="0.2">
      <c r="A1197" s="57"/>
      <c r="B1197" s="57"/>
      <c r="C1197" s="57"/>
      <c r="D1197" s="57"/>
      <c r="E1197" s="57"/>
      <c r="F1197" s="57"/>
      <c r="G1197" s="57"/>
      <c r="H1197" s="57"/>
      <c r="I1197" s="57"/>
      <c r="J1197" s="57"/>
      <c r="L1197" s="57"/>
      <c r="M1197" s="57"/>
      <c r="N1197" s="57"/>
      <c r="O1197" s="57"/>
      <c r="P1197" s="57"/>
      <c r="Q1197" s="57"/>
      <c r="R1197" s="57"/>
      <c r="S1197" s="57"/>
      <c r="T1197" s="57"/>
      <c r="U1197" s="57"/>
      <c r="V1197" s="57"/>
      <c r="W1197" s="57"/>
      <c r="X1197" s="57"/>
      <c r="Y1197" s="98"/>
      <c r="AA1197" s="98"/>
      <c r="AR1197" s="98"/>
      <c r="AS1197" s="57"/>
      <c r="AU1197" s="57"/>
      <c r="BF1197" s="98"/>
      <c r="BG1197" s="98"/>
      <c r="BH1197" s="98"/>
      <c r="BI1197" s="98"/>
      <c r="BJ1197" s="98"/>
      <c r="BK1197" s="98"/>
      <c r="BL1197" s="98"/>
      <c r="BM1197" s="57"/>
    </row>
    <row r="1198" spans="1:65" ht="11.25" x14ac:dyDescent="0.2">
      <c r="A1198" s="57"/>
      <c r="B1198" s="57"/>
      <c r="C1198" s="57"/>
      <c r="D1198" s="57"/>
      <c r="E1198" s="57"/>
      <c r="F1198" s="57"/>
      <c r="G1198" s="57"/>
      <c r="H1198" s="57"/>
      <c r="I1198" s="57"/>
      <c r="J1198" s="57"/>
      <c r="L1198" s="57"/>
      <c r="M1198" s="57"/>
      <c r="N1198" s="57"/>
      <c r="O1198" s="57"/>
      <c r="P1198" s="57"/>
      <c r="Q1198" s="57"/>
      <c r="R1198" s="57"/>
      <c r="S1198" s="57"/>
      <c r="T1198" s="57"/>
      <c r="U1198" s="57"/>
      <c r="V1198" s="57"/>
      <c r="W1198" s="57"/>
      <c r="X1198" s="57"/>
      <c r="Y1198" s="98"/>
      <c r="AA1198" s="98"/>
      <c r="AR1198" s="98"/>
      <c r="AS1198" s="57"/>
      <c r="AU1198" s="57"/>
      <c r="BF1198" s="98"/>
      <c r="BG1198" s="98"/>
      <c r="BH1198" s="98"/>
      <c r="BI1198" s="98"/>
      <c r="BJ1198" s="98"/>
      <c r="BK1198" s="98"/>
      <c r="BL1198" s="98"/>
      <c r="BM1198" s="57"/>
    </row>
    <row r="1199" spans="1:65" ht="11.25" x14ac:dyDescent="0.2">
      <c r="A1199" s="57"/>
      <c r="B1199" s="57"/>
      <c r="C1199" s="57"/>
      <c r="D1199" s="57"/>
      <c r="E1199" s="57"/>
      <c r="F1199" s="57"/>
      <c r="G1199" s="57"/>
      <c r="H1199" s="57"/>
      <c r="I1199" s="57"/>
      <c r="J1199" s="57"/>
      <c r="L1199" s="57"/>
      <c r="M1199" s="57"/>
      <c r="N1199" s="57"/>
      <c r="O1199" s="57"/>
      <c r="P1199" s="57"/>
      <c r="Q1199" s="57"/>
      <c r="R1199" s="57"/>
      <c r="S1199" s="57"/>
      <c r="T1199" s="57"/>
      <c r="U1199" s="57"/>
      <c r="V1199" s="57"/>
      <c r="W1199" s="57"/>
      <c r="X1199" s="57"/>
      <c r="Y1199" s="98"/>
      <c r="AA1199" s="98"/>
      <c r="AR1199" s="98"/>
      <c r="AS1199" s="57"/>
      <c r="AU1199" s="57"/>
      <c r="BF1199" s="98"/>
      <c r="BG1199" s="98"/>
      <c r="BH1199" s="98"/>
      <c r="BI1199" s="98"/>
      <c r="BJ1199" s="98"/>
      <c r="BK1199" s="98"/>
      <c r="BL1199" s="98"/>
      <c r="BM1199" s="57"/>
    </row>
    <row r="1200" spans="1:65" ht="11.25" x14ac:dyDescent="0.2">
      <c r="A1200" s="57"/>
      <c r="B1200" s="57"/>
      <c r="C1200" s="57"/>
      <c r="D1200" s="57"/>
      <c r="E1200" s="57"/>
      <c r="F1200" s="57"/>
      <c r="G1200" s="57"/>
      <c r="H1200" s="57"/>
      <c r="I1200" s="57"/>
      <c r="J1200" s="57"/>
      <c r="L1200" s="57"/>
      <c r="M1200" s="57"/>
      <c r="N1200" s="57"/>
      <c r="O1200" s="57"/>
      <c r="P1200" s="57"/>
      <c r="Q1200" s="57"/>
      <c r="R1200" s="57"/>
      <c r="S1200" s="57"/>
      <c r="T1200" s="57"/>
      <c r="U1200" s="57"/>
      <c r="V1200" s="57"/>
      <c r="W1200" s="57"/>
      <c r="X1200" s="57"/>
      <c r="Y1200" s="98"/>
      <c r="AA1200" s="98"/>
      <c r="AR1200" s="98"/>
      <c r="AS1200" s="57"/>
      <c r="AU1200" s="57"/>
      <c r="BF1200" s="98"/>
      <c r="BG1200" s="98"/>
      <c r="BH1200" s="98"/>
      <c r="BI1200" s="98"/>
      <c r="BJ1200" s="98"/>
      <c r="BK1200" s="98"/>
      <c r="BL1200" s="98"/>
      <c r="BM1200" s="57"/>
    </row>
    <row r="1201" spans="1:65" ht="11.25" x14ac:dyDescent="0.2">
      <c r="A1201" s="57"/>
      <c r="B1201" s="57"/>
      <c r="C1201" s="57"/>
      <c r="D1201" s="57"/>
      <c r="E1201" s="57"/>
      <c r="F1201" s="57"/>
      <c r="G1201" s="57"/>
      <c r="H1201" s="57"/>
      <c r="I1201" s="57"/>
      <c r="J1201" s="57"/>
      <c r="L1201" s="57"/>
      <c r="M1201" s="57"/>
      <c r="N1201" s="57"/>
      <c r="O1201" s="57"/>
      <c r="P1201" s="57"/>
      <c r="Q1201" s="57"/>
      <c r="R1201" s="57"/>
      <c r="S1201" s="57"/>
      <c r="T1201" s="57"/>
      <c r="U1201" s="57"/>
      <c r="V1201" s="57"/>
      <c r="W1201" s="57"/>
      <c r="X1201" s="57"/>
      <c r="Y1201" s="98"/>
      <c r="AA1201" s="98"/>
      <c r="AR1201" s="98"/>
      <c r="AS1201" s="57"/>
      <c r="AU1201" s="57"/>
      <c r="BF1201" s="98"/>
      <c r="BG1201" s="98"/>
      <c r="BH1201" s="98"/>
      <c r="BI1201" s="98"/>
      <c r="BJ1201" s="98"/>
      <c r="BK1201" s="98"/>
      <c r="BL1201" s="98"/>
      <c r="BM1201" s="57"/>
    </row>
    <row r="1202" spans="1:65" ht="11.25" x14ac:dyDescent="0.2">
      <c r="A1202" s="57"/>
      <c r="B1202" s="57"/>
      <c r="C1202" s="57"/>
      <c r="D1202" s="57"/>
      <c r="E1202" s="57"/>
      <c r="F1202" s="57"/>
      <c r="G1202" s="57"/>
      <c r="H1202" s="57"/>
      <c r="I1202" s="57"/>
      <c r="J1202" s="57"/>
      <c r="L1202" s="57"/>
      <c r="M1202" s="57"/>
      <c r="N1202" s="57"/>
      <c r="O1202" s="57"/>
      <c r="P1202" s="57"/>
      <c r="Q1202" s="57"/>
      <c r="R1202" s="57"/>
      <c r="S1202" s="57"/>
      <c r="T1202" s="57"/>
      <c r="U1202" s="57"/>
      <c r="V1202" s="57"/>
      <c r="W1202" s="57"/>
      <c r="X1202" s="57"/>
      <c r="Y1202" s="98"/>
      <c r="AA1202" s="98"/>
      <c r="AR1202" s="98"/>
      <c r="AS1202" s="57"/>
      <c r="AU1202" s="57"/>
      <c r="BF1202" s="98"/>
      <c r="BG1202" s="98"/>
      <c r="BH1202" s="98"/>
      <c r="BI1202" s="98"/>
      <c r="BJ1202" s="98"/>
      <c r="BK1202" s="98"/>
      <c r="BL1202" s="98"/>
      <c r="BM1202" s="57"/>
    </row>
    <row r="1203" spans="1:65" ht="11.25" x14ac:dyDescent="0.2">
      <c r="A1203" s="57"/>
      <c r="B1203" s="57"/>
      <c r="C1203" s="57"/>
      <c r="D1203" s="57"/>
      <c r="E1203" s="57"/>
      <c r="F1203" s="57"/>
      <c r="G1203" s="57"/>
      <c r="H1203" s="57"/>
      <c r="I1203" s="57"/>
      <c r="J1203" s="57"/>
      <c r="L1203" s="57"/>
      <c r="M1203" s="57"/>
      <c r="N1203" s="57"/>
      <c r="O1203" s="57"/>
      <c r="P1203" s="57"/>
      <c r="Q1203" s="57"/>
      <c r="R1203" s="57"/>
      <c r="S1203" s="57"/>
      <c r="T1203" s="57"/>
      <c r="U1203" s="57"/>
      <c r="V1203" s="57"/>
      <c r="W1203" s="57"/>
      <c r="X1203" s="57"/>
      <c r="Y1203" s="98"/>
      <c r="AA1203" s="98"/>
      <c r="AR1203" s="98"/>
      <c r="AS1203" s="57"/>
      <c r="AU1203" s="57"/>
      <c r="BF1203" s="98"/>
      <c r="BG1203" s="98"/>
      <c r="BH1203" s="98"/>
      <c r="BI1203" s="98"/>
      <c r="BJ1203" s="98"/>
      <c r="BK1203" s="98"/>
      <c r="BL1203" s="98"/>
      <c r="BM1203" s="57"/>
    </row>
    <row r="1204" spans="1:65" ht="11.25" x14ac:dyDescent="0.2">
      <c r="A1204" s="57"/>
      <c r="B1204" s="57"/>
      <c r="C1204" s="57"/>
      <c r="D1204" s="57"/>
      <c r="E1204" s="57"/>
      <c r="F1204" s="57"/>
      <c r="G1204" s="57"/>
      <c r="H1204" s="57"/>
      <c r="I1204" s="57"/>
      <c r="J1204" s="57"/>
      <c r="L1204" s="57"/>
      <c r="M1204" s="57"/>
      <c r="N1204" s="57"/>
      <c r="O1204" s="57"/>
      <c r="P1204" s="57"/>
      <c r="Q1204" s="57"/>
      <c r="R1204" s="57"/>
      <c r="S1204" s="57"/>
      <c r="T1204" s="57"/>
      <c r="U1204" s="57"/>
      <c r="V1204" s="57"/>
      <c r="W1204" s="57"/>
      <c r="X1204" s="57"/>
      <c r="Y1204" s="98"/>
      <c r="AA1204" s="98"/>
      <c r="AR1204" s="98"/>
      <c r="AS1204" s="57"/>
      <c r="AU1204" s="57"/>
      <c r="BF1204" s="98"/>
      <c r="BG1204" s="98"/>
      <c r="BH1204" s="98"/>
      <c r="BI1204" s="98"/>
      <c r="BJ1204" s="98"/>
      <c r="BK1204" s="98"/>
      <c r="BL1204" s="98"/>
      <c r="BM1204" s="57"/>
    </row>
    <row r="1205" spans="1:65" ht="11.25" x14ac:dyDescent="0.2">
      <c r="A1205" s="57"/>
      <c r="B1205" s="57"/>
      <c r="C1205" s="57"/>
      <c r="D1205" s="57"/>
      <c r="E1205" s="57"/>
      <c r="F1205" s="57"/>
      <c r="G1205" s="57"/>
      <c r="H1205" s="57"/>
      <c r="I1205" s="57"/>
      <c r="J1205" s="57"/>
      <c r="L1205" s="57"/>
      <c r="M1205" s="57"/>
      <c r="N1205" s="57"/>
      <c r="O1205" s="57"/>
      <c r="P1205" s="57"/>
      <c r="Q1205" s="57"/>
      <c r="R1205" s="57"/>
      <c r="S1205" s="57"/>
      <c r="T1205" s="57"/>
      <c r="U1205" s="57"/>
      <c r="V1205" s="57"/>
      <c r="W1205" s="57"/>
      <c r="X1205" s="57"/>
      <c r="Y1205" s="98"/>
      <c r="AA1205" s="98"/>
      <c r="AR1205" s="98"/>
      <c r="AS1205" s="57"/>
      <c r="AU1205" s="57"/>
      <c r="BF1205" s="98"/>
      <c r="BG1205" s="98"/>
      <c r="BH1205" s="98"/>
      <c r="BI1205" s="98"/>
      <c r="BJ1205" s="98"/>
      <c r="BK1205" s="98"/>
      <c r="BL1205" s="98"/>
      <c r="BM1205" s="57"/>
    </row>
    <row r="1206" spans="1:65" ht="11.25" x14ac:dyDescent="0.2">
      <c r="A1206" s="57"/>
      <c r="B1206" s="57"/>
      <c r="C1206" s="57"/>
      <c r="D1206" s="57"/>
      <c r="E1206" s="57"/>
      <c r="F1206" s="57"/>
      <c r="G1206" s="57"/>
      <c r="H1206" s="57"/>
      <c r="I1206" s="57"/>
      <c r="J1206" s="57"/>
      <c r="L1206" s="57"/>
      <c r="M1206" s="57"/>
      <c r="N1206" s="57"/>
      <c r="O1206" s="57"/>
      <c r="P1206" s="57"/>
      <c r="Q1206" s="57"/>
      <c r="R1206" s="57"/>
      <c r="S1206" s="57"/>
      <c r="T1206" s="57"/>
      <c r="U1206" s="57"/>
      <c r="V1206" s="57"/>
      <c r="W1206" s="57"/>
      <c r="X1206" s="57"/>
      <c r="Y1206" s="98"/>
      <c r="AA1206" s="98"/>
      <c r="AR1206" s="98"/>
      <c r="AS1206" s="57"/>
      <c r="AU1206" s="57"/>
      <c r="BF1206" s="98"/>
      <c r="BG1206" s="98"/>
      <c r="BH1206" s="98"/>
      <c r="BI1206" s="98"/>
      <c r="BJ1206" s="98"/>
      <c r="BK1206" s="98"/>
      <c r="BL1206" s="98"/>
      <c r="BM1206" s="57"/>
    </row>
    <row r="1207" spans="1:65" ht="11.25" x14ac:dyDescent="0.2">
      <c r="A1207" s="57"/>
      <c r="B1207" s="57"/>
      <c r="C1207" s="57"/>
      <c r="D1207" s="57"/>
      <c r="E1207" s="57"/>
      <c r="F1207" s="57"/>
      <c r="G1207" s="57"/>
      <c r="H1207" s="57"/>
      <c r="I1207" s="57"/>
      <c r="J1207" s="57"/>
      <c r="L1207" s="57"/>
      <c r="M1207" s="57"/>
      <c r="N1207" s="57"/>
      <c r="O1207" s="57"/>
      <c r="P1207" s="57"/>
      <c r="Q1207" s="57"/>
      <c r="R1207" s="57"/>
      <c r="S1207" s="57"/>
      <c r="T1207" s="57"/>
      <c r="U1207" s="57"/>
      <c r="V1207" s="57"/>
      <c r="W1207" s="57"/>
      <c r="X1207" s="57"/>
      <c r="Y1207" s="98"/>
      <c r="AA1207" s="98"/>
      <c r="AR1207" s="98"/>
      <c r="AS1207" s="57"/>
      <c r="AU1207" s="57"/>
      <c r="BF1207" s="98"/>
      <c r="BG1207" s="98"/>
      <c r="BH1207" s="98"/>
      <c r="BI1207" s="98"/>
      <c r="BJ1207" s="98"/>
      <c r="BK1207" s="98"/>
      <c r="BL1207" s="98"/>
      <c r="BM1207" s="57"/>
    </row>
    <row r="1208" spans="1:65" ht="11.25" x14ac:dyDescent="0.2">
      <c r="A1208" s="57"/>
      <c r="B1208" s="57"/>
      <c r="C1208" s="57"/>
      <c r="D1208" s="57"/>
      <c r="E1208" s="57"/>
      <c r="F1208" s="57"/>
      <c r="G1208" s="57"/>
      <c r="H1208" s="57"/>
      <c r="I1208" s="57"/>
      <c r="J1208" s="57"/>
      <c r="L1208" s="57"/>
      <c r="M1208" s="57"/>
      <c r="N1208" s="57"/>
      <c r="O1208" s="57"/>
      <c r="P1208" s="57"/>
      <c r="Q1208" s="57"/>
      <c r="R1208" s="57"/>
      <c r="S1208" s="57"/>
      <c r="T1208" s="57"/>
      <c r="U1208" s="57"/>
      <c r="V1208" s="57"/>
      <c r="W1208" s="57"/>
      <c r="X1208" s="57"/>
      <c r="Y1208" s="98"/>
      <c r="AA1208" s="98"/>
      <c r="AR1208" s="98"/>
      <c r="AS1208" s="57"/>
      <c r="AU1208" s="57"/>
      <c r="BF1208" s="98"/>
      <c r="BG1208" s="98"/>
      <c r="BH1208" s="98"/>
      <c r="BI1208" s="98"/>
      <c r="BJ1208" s="98"/>
      <c r="BK1208" s="98"/>
      <c r="BL1208" s="98"/>
      <c r="BM1208" s="57"/>
    </row>
    <row r="1209" spans="1:65" ht="11.25" x14ac:dyDescent="0.2">
      <c r="A1209" s="57"/>
      <c r="B1209" s="57"/>
      <c r="C1209" s="57"/>
      <c r="D1209" s="57"/>
      <c r="E1209" s="57"/>
      <c r="F1209" s="57"/>
      <c r="G1209" s="57"/>
      <c r="H1209" s="57"/>
      <c r="I1209" s="57"/>
      <c r="J1209" s="57"/>
      <c r="L1209" s="57"/>
      <c r="M1209" s="57"/>
      <c r="N1209" s="57"/>
      <c r="O1209" s="57"/>
      <c r="P1209" s="57"/>
      <c r="Q1209" s="57"/>
      <c r="R1209" s="57"/>
      <c r="S1209" s="57"/>
      <c r="T1209" s="57"/>
      <c r="U1209" s="57"/>
      <c r="V1209" s="57"/>
      <c r="W1209" s="57"/>
      <c r="X1209" s="57"/>
      <c r="Y1209" s="98"/>
      <c r="AA1209" s="98"/>
      <c r="AR1209" s="98"/>
      <c r="AS1209" s="57"/>
      <c r="AU1209" s="57"/>
      <c r="BF1209" s="98"/>
      <c r="BG1209" s="98"/>
      <c r="BH1209" s="98"/>
      <c r="BI1209" s="98"/>
      <c r="BJ1209" s="98"/>
      <c r="BK1209" s="98"/>
      <c r="BL1209" s="98"/>
      <c r="BM1209" s="57"/>
    </row>
    <row r="1210" spans="1:65" ht="11.25" x14ac:dyDescent="0.2">
      <c r="A1210" s="57"/>
      <c r="B1210" s="57"/>
      <c r="C1210" s="57"/>
      <c r="D1210" s="57"/>
      <c r="E1210" s="57"/>
      <c r="F1210" s="57"/>
      <c r="G1210" s="57"/>
      <c r="H1210" s="57"/>
      <c r="I1210" s="57"/>
      <c r="J1210" s="57"/>
      <c r="L1210" s="57"/>
      <c r="M1210" s="57"/>
      <c r="N1210" s="57"/>
      <c r="O1210" s="57"/>
      <c r="P1210" s="57"/>
      <c r="Q1210" s="57"/>
      <c r="R1210" s="57"/>
      <c r="S1210" s="57"/>
      <c r="T1210" s="57"/>
      <c r="U1210" s="57"/>
      <c r="V1210" s="57"/>
      <c r="W1210" s="57"/>
      <c r="X1210" s="57"/>
      <c r="Y1210" s="98"/>
      <c r="AA1210" s="98"/>
      <c r="AR1210" s="98"/>
      <c r="AS1210" s="57"/>
      <c r="AU1210" s="57"/>
      <c r="BF1210" s="98"/>
      <c r="BG1210" s="98"/>
      <c r="BH1210" s="98"/>
      <c r="BI1210" s="98"/>
      <c r="BJ1210" s="98"/>
      <c r="BK1210" s="98"/>
      <c r="BL1210" s="98"/>
      <c r="BM1210" s="57"/>
    </row>
    <row r="1211" spans="1:65" ht="11.25" x14ac:dyDescent="0.2">
      <c r="A1211" s="57"/>
      <c r="B1211" s="57"/>
      <c r="C1211" s="57"/>
      <c r="D1211" s="57"/>
      <c r="E1211" s="57"/>
      <c r="F1211" s="57"/>
      <c r="G1211" s="57"/>
      <c r="H1211" s="57"/>
      <c r="I1211" s="57"/>
      <c r="J1211" s="57"/>
      <c r="L1211" s="57"/>
      <c r="M1211" s="57"/>
      <c r="N1211" s="57"/>
      <c r="O1211" s="57"/>
      <c r="P1211" s="57"/>
      <c r="Q1211" s="57"/>
      <c r="R1211" s="57"/>
      <c r="S1211" s="57"/>
      <c r="T1211" s="57"/>
      <c r="U1211" s="57"/>
      <c r="V1211" s="57"/>
      <c r="W1211" s="57"/>
      <c r="X1211" s="57"/>
      <c r="Y1211" s="98"/>
      <c r="AA1211" s="98"/>
      <c r="AR1211" s="98"/>
      <c r="AS1211" s="57"/>
      <c r="AU1211" s="57"/>
      <c r="BF1211" s="98"/>
      <c r="BG1211" s="98"/>
      <c r="BH1211" s="98"/>
      <c r="BI1211" s="98"/>
      <c r="BJ1211" s="98"/>
      <c r="BK1211" s="98"/>
      <c r="BL1211" s="98"/>
      <c r="BM1211" s="57"/>
    </row>
    <row r="1212" spans="1:65" ht="11.25" x14ac:dyDescent="0.2">
      <c r="A1212" s="57"/>
      <c r="B1212" s="57"/>
      <c r="C1212" s="57"/>
      <c r="D1212" s="57"/>
      <c r="E1212" s="57"/>
      <c r="F1212" s="57"/>
      <c r="G1212" s="57"/>
      <c r="H1212" s="57"/>
      <c r="I1212" s="57"/>
      <c r="J1212" s="57"/>
      <c r="L1212" s="57"/>
      <c r="M1212" s="57"/>
      <c r="N1212" s="57"/>
      <c r="O1212" s="57"/>
      <c r="P1212" s="57"/>
      <c r="Q1212" s="57"/>
      <c r="R1212" s="57"/>
      <c r="S1212" s="57"/>
      <c r="T1212" s="57"/>
      <c r="U1212" s="57"/>
      <c r="V1212" s="57"/>
      <c r="W1212" s="57"/>
      <c r="X1212" s="57"/>
      <c r="Y1212" s="98"/>
      <c r="AA1212" s="98"/>
      <c r="AR1212" s="98"/>
      <c r="AS1212" s="57"/>
      <c r="AU1212" s="57"/>
      <c r="BF1212" s="98"/>
      <c r="BG1212" s="98"/>
      <c r="BH1212" s="98"/>
      <c r="BI1212" s="98"/>
      <c r="BJ1212" s="98"/>
      <c r="BK1212" s="98"/>
      <c r="BL1212" s="98"/>
      <c r="BM1212" s="57"/>
    </row>
    <row r="1213" spans="1:65" ht="11.25" x14ac:dyDescent="0.2">
      <c r="A1213" s="57"/>
      <c r="B1213" s="57"/>
      <c r="C1213" s="57"/>
      <c r="D1213" s="57"/>
      <c r="E1213" s="57"/>
      <c r="F1213" s="57"/>
      <c r="G1213" s="57"/>
      <c r="H1213" s="57"/>
      <c r="I1213" s="57"/>
      <c r="J1213" s="57"/>
      <c r="L1213" s="57"/>
      <c r="M1213" s="57"/>
      <c r="N1213" s="57"/>
      <c r="O1213" s="57"/>
      <c r="P1213" s="57"/>
      <c r="Q1213" s="57"/>
      <c r="R1213" s="57"/>
      <c r="S1213" s="57"/>
      <c r="T1213" s="57"/>
      <c r="U1213" s="57"/>
      <c r="V1213" s="57"/>
      <c r="W1213" s="57"/>
      <c r="X1213" s="57"/>
      <c r="Y1213" s="98"/>
      <c r="AA1213" s="98"/>
      <c r="AR1213" s="98"/>
      <c r="AS1213" s="57"/>
      <c r="AU1213" s="57"/>
      <c r="BF1213" s="98"/>
      <c r="BG1213" s="98"/>
      <c r="BH1213" s="98"/>
      <c r="BI1213" s="98"/>
      <c r="BJ1213" s="98"/>
      <c r="BK1213" s="98"/>
      <c r="BL1213" s="98"/>
      <c r="BM1213" s="57"/>
    </row>
    <row r="1214" spans="1:65" ht="11.25" x14ac:dyDescent="0.2">
      <c r="A1214" s="57"/>
      <c r="B1214" s="57"/>
      <c r="C1214" s="57"/>
      <c r="D1214" s="57"/>
      <c r="E1214" s="57"/>
      <c r="F1214" s="57"/>
      <c r="G1214" s="57"/>
      <c r="H1214" s="57"/>
      <c r="I1214" s="57"/>
      <c r="J1214" s="57"/>
      <c r="L1214" s="57"/>
      <c r="M1214" s="57"/>
      <c r="N1214" s="57"/>
      <c r="O1214" s="57"/>
      <c r="P1214" s="57"/>
      <c r="Q1214" s="57"/>
      <c r="R1214" s="57"/>
      <c r="S1214" s="57"/>
      <c r="T1214" s="57"/>
      <c r="U1214" s="57"/>
      <c r="V1214" s="57"/>
      <c r="W1214" s="57"/>
      <c r="X1214" s="57"/>
      <c r="Y1214" s="98"/>
      <c r="AA1214" s="98"/>
      <c r="AR1214" s="98"/>
      <c r="AS1214" s="57"/>
      <c r="AU1214" s="57"/>
      <c r="BF1214" s="98"/>
      <c r="BG1214" s="98"/>
      <c r="BH1214" s="98"/>
      <c r="BI1214" s="98"/>
      <c r="BJ1214" s="98"/>
      <c r="BK1214" s="98"/>
      <c r="BL1214" s="98"/>
      <c r="BM1214" s="57"/>
    </row>
    <row r="1215" spans="1:65" ht="11.25" x14ac:dyDescent="0.2">
      <c r="A1215" s="57"/>
      <c r="B1215" s="57"/>
      <c r="C1215" s="57"/>
      <c r="D1215" s="57"/>
      <c r="E1215" s="57"/>
      <c r="F1215" s="57"/>
      <c r="G1215" s="57"/>
      <c r="H1215" s="57"/>
      <c r="I1215" s="57"/>
      <c r="J1215" s="57"/>
      <c r="L1215" s="57"/>
      <c r="M1215" s="57"/>
      <c r="N1215" s="57"/>
      <c r="O1215" s="57"/>
      <c r="P1215" s="57"/>
      <c r="Q1215" s="57"/>
      <c r="R1215" s="57"/>
      <c r="S1215" s="57"/>
      <c r="T1215" s="57"/>
      <c r="U1215" s="57"/>
      <c r="V1215" s="57"/>
      <c r="W1215" s="57"/>
      <c r="X1215" s="57"/>
      <c r="Y1215" s="98"/>
      <c r="AA1215" s="98"/>
      <c r="AR1215" s="98"/>
      <c r="AS1215" s="57"/>
      <c r="AU1215" s="57"/>
      <c r="BF1215" s="98"/>
      <c r="BG1215" s="98"/>
      <c r="BH1215" s="98"/>
      <c r="BI1215" s="98"/>
      <c r="BJ1215" s="98"/>
      <c r="BK1215" s="98"/>
      <c r="BL1215" s="98"/>
      <c r="BM1215" s="57"/>
    </row>
    <row r="1216" spans="1:65" ht="11.25" x14ac:dyDescent="0.2">
      <c r="A1216" s="57"/>
      <c r="B1216" s="57"/>
      <c r="C1216" s="57"/>
      <c r="D1216" s="57"/>
      <c r="E1216" s="57"/>
      <c r="F1216" s="57"/>
      <c r="G1216" s="57"/>
      <c r="H1216" s="57"/>
      <c r="I1216" s="57"/>
      <c r="J1216" s="57"/>
      <c r="L1216" s="57"/>
      <c r="M1216" s="57"/>
      <c r="N1216" s="57"/>
      <c r="O1216" s="57"/>
      <c r="P1216" s="57"/>
      <c r="Q1216" s="57"/>
      <c r="R1216" s="57"/>
      <c r="S1216" s="57"/>
      <c r="T1216" s="57"/>
      <c r="U1216" s="57"/>
      <c r="V1216" s="57"/>
      <c r="W1216" s="57"/>
      <c r="X1216" s="57"/>
      <c r="Y1216" s="98"/>
      <c r="AA1216" s="98"/>
      <c r="AR1216" s="98"/>
      <c r="AS1216" s="57"/>
      <c r="AU1216" s="57"/>
      <c r="BF1216" s="98"/>
      <c r="BG1216" s="98"/>
      <c r="BH1216" s="98"/>
      <c r="BI1216" s="98"/>
      <c r="BJ1216" s="98"/>
      <c r="BK1216" s="98"/>
      <c r="BL1216" s="98"/>
      <c r="BM1216" s="57"/>
    </row>
    <row r="1217" spans="1:65" ht="11.25" x14ac:dyDescent="0.2">
      <c r="A1217" s="57"/>
      <c r="B1217" s="57"/>
      <c r="C1217" s="57"/>
      <c r="D1217" s="57"/>
      <c r="E1217" s="57"/>
      <c r="F1217" s="57"/>
      <c r="G1217" s="57"/>
      <c r="H1217" s="57"/>
      <c r="I1217" s="57"/>
      <c r="J1217" s="57"/>
      <c r="L1217" s="57"/>
      <c r="M1217" s="57"/>
      <c r="N1217" s="57"/>
      <c r="O1217" s="57"/>
      <c r="P1217" s="57"/>
      <c r="Q1217" s="57"/>
      <c r="R1217" s="57"/>
      <c r="S1217" s="57"/>
      <c r="T1217" s="57"/>
      <c r="U1217" s="57"/>
      <c r="V1217" s="57"/>
      <c r="W1217" s="57"/>
      <c r="X1217" s="57"/>
      <c r="Y1217" s="98"/>
      <c r="AA1217" s="98"/>
      <c r="AR1217" s="98"/>
      <c r="AS1217" s="57"/>
      <c r="AU1217" s="57"/>
      <c r="BF1217" s="98"/>
      <c r="BG1217" s="98"/>
      <c r="BH1217" s="98"/>
      <c r="BI1217" s="98"/>
      <c r="BJ1217" s="98"/>
      <c r="BK1217" s="98"/>
      <c r="BL1217" s="98"/>
      <c r="BM1217" s="57"/>
    </row>
    <row r="1218" spans="1:65" ht="11.25" x14ac:dyDescent="0.2">
      <c r="A1218" s="57"/>
      <c r="B1218" s="57"/>
      <c r="C1218" s="57"/>
      <c r="D1218" s="57"/>
      <c r="E1218" s="57"/>
      <c r="F1218" s="57"/>
      <c r="G1218" s="57"/>
      <c r="H1218" s="57"/>
      <c r="I1218" s="57"/>
      <c r="J1218" s="57"/>
      <c r="L1218" s="57"/>
      <c r="M1218" s="57"/>
      <c r="N1218" s="57"/>
      <c r="O1218" s="57"/>
      <c r="P1218" s="57"/>
      <c r="Q1218" s="57"/>
      <c r="R1218" s="57"/>
      <c r="S1218" s="57"/>
      <c r="T1218" s="57"/>
      <c r="U1218" s="57"/>
      <c r="V1218" s="57"/>
      <c r="W1218" s="57"/>
      <c r="X1218" s="57"/>
      <c r="Y1218" s="98"/>
      <c r="AA1218" s="98"/>
      <c r="AR1218" s="98"/>
      <c r="AS1218" s="57"/>
      <c r="AU1218" s="57"/>
      <c r="BF1218" s="98"/>
      <c r="BG1218" s="98"/>
      <c r="BH1218" s="98"/>
      <c r="BI1218" s="98"/>
      <c r="BJ1218" s="98"/>
      <c r="BK1218" s="98"/>
      <c r="BL1218" s="98"/>
      <c r="BM1218" s="57"/>
    </row>
    <row r="1219" spans="1:65" ht="11.25" x14ac:dyDescent="0.2">
      <c r="A1219" s="57"/>
      <c r="B1219" s="57"/>
      <c r="C1219" s="57"/>
      <c r="D1219" s="57"/>
      <c r="E1219" s="57"/>
      <c r="F1219" s="57"/>
      <c r="G1219" s="57"/>
      <c r="H1219" s="57"/>
      <c r="I1219" s="57"/>
      <c r="J1219" s="57"/>
      <c r="L1219" s="57"/>
      <c r="M1219" s="57"/>
      <c r="N1219" s="57"/>
      <c r="O1219" s="57"/>
      <c r="P1219" s="57"/>
      <c r="Q1219" s="57"/>
      <c r="R1219" s="57"/>
      <c r="S1219" s="57"/>
      <c r="T1219" s="57"/>
      <c r="U1219" s="57"/>
      <c r="V1219" s="57"/>
      <c r="W1219" s="57"/>
      <c r="X1219" s="57"/>
      <c r="Y1219" s="98"/>
      <c r="AA1219" s="98"/>
      <c r="AR1219" s="98"/>
      <c r="AS1219" s="57"/>
      <c r="AU1219" s="57"/>
      <c r="BF1219" s="98"/>
      <c r="BG1219" s="98"/>
      <c r="BH1219" s="98"/>
      <c r="BI1219" s="98"/>
      <c r="BJ1219" s="98"/>
      <c r="BK1219" s="98"/>
      <c r="BL1219" s="98"/>
      <c r="BM1219" s="57"/>
    </row>
    <row r="1220" spans="1:65" ht="11.25" x14ac:dyDescent="0.2">
      <c r="A1220" s="57"/>
      <c r="B1220" s="57"/>
      <c r="C1220" s="57"/>
      <c r="D1220" s="57"/>
      <c r="E1220" s="57"/>
      <c r="F1220" s="57"/>
      <c r="G1220" s="57"/>
      <c r="H1220" s="57"/>
      <c r="I1220" s="57"/>
      <c r="J1220" s="57"/>
      <c r="L1220" s="57"/>
      <c r="M1220" s="57"/>
      <c r="N1220" s="57"/>
      <c r="O1220" s="57"/>
      <c r="P1220" s="57"/>
      <c r="Q1220" s="57"/>
      <c r="R1220" s="57"/>
      <c r="S1220" s="57"/>
      <c r="T1220" s="57"/>
      <c r="U1220" s="57"/>
      <c r="V1220" s="57"/>
      <c r="W1220" s="57"/>
      <c r="X1220" s="57"/>
      <c r="Y1220" s="98"/>
      <c r="AA1220" s="98"/>
      <c r="AR1220" s="98"/>
      <c r="AS1220" s="57"/>
      <c r="AU1220" s="57"/>
      <c r="BF1220" s="98"/>
      <c r="BG1220" s="98"/>
      <c r="BH1220" s="98"/>
      <c r="BI1220" s="98"/>
      <c r="BJ1220" s="98"/>
      <c r="BK1220" s="98"/>
      <c r="BL1220" s="98"/>
      <c r="BM1220" s="57"/>
    </row>
    <row r="1221" spans="1:65" ht="11.25" x14ac:dyDescent="0.2">
      <c r="A1221" s="57"/>
      <c r="B1221" s="57"/>
      <c r="C1221" s="57"/>
      <c r="D1221" s="57"/>
      <c r="E1221" s="57"/>
      <c r="F1221" s="57"/>
      <c r="G1221" s="57"/>
      <c r="H1221" s="57"/>
      <c r="I1221" s="57"/>
      <c r="J1221" s="57"/>
      <c r="L1221" s="57"/>
      <c r="M1221" s="57"/>
      <c r="N1221" s="57"/>
      <c r="O1221" s="57"/>
      <c r="P1221" s="57"/>
      <c r="Q1221" s="57"/>
      <c r="R1221" s="57"/>
      <c r="S1221" s="57"/>
      <c r="T1221" s="57"/>
      <c r="U1221" s="57"/>
      <c r="V1221" s="57"/>
      <c r="W1221" s="57"/>
      <c r="X1221" s="57"/>
      <c r="Y1221" s="98"/>
      <c r="AA1221" s="98"/>
      <c r="AR1221" s="98"/>
      <c r="AS1221" s="57"/>
      <c r="AU1221" s="57"/>
      <c r="BF1221" s="98"/>
      <c r="BG1221" s="98"/>
      <c r="BH1221" s="98"/>
      <c r="BI1221" s="98"/>
      <c r="BJ1221" s="98"/>
      <c r="BK1221" s="98"/>
      <c r="BL1221" s="98"/>
      <c r="BM1221" s="57"/>
    </row>
    <row r="1222" spans="1:65" ht="11.25" x14ac:dyDescent="0.2">
      <c r="A1222" s="57"/>
      <c r="B1222" s="57"/>
      <c r="C1222" s="57"/>
      <c r="D1222" s="57"/>
      <c r="E1222" s="57"/>
      <c r="F1222" s="57"/>
      <c r="G1222" s="57"/>
      <c r="H1222" s="57"/>
      <c r="I1222" s="57"/>
      <c r="J1222" s="57"/>
      <c r="L1222" s="57"/>
      <c r="M1222" s="57"/>
      <c r="N1222" s="57"/>
      <c r="O1222" s="57"/>
      <c r="P1222" s="57"/>
      <c r="Q1222" s="57"/>
      <c r="R1222" s="57"/>
      <c r="S1222" s="57"/>
      <c r="T1222" s="57"/>
      <c r="U1222" s="57"/>
      <c r="V1222" s="57"/>
      <c r="W1222" s="57"/>
      <c r="X1222" s="57"/>
      <c r="Y1222" s="98"/>
      <c r="AA1222" s="98"/>
      <c r="AR1222" s="98"/>
      <c r="AS1222" s="57"/>
      <c r="AU1222" s="57"/>
      <c r="BF1222" s="98"/>
      <c r="BG1222" s="98"/>
      <c r="BH1222" s="98"/>
      <c r="BI1222" s="98"/>
      <c r="BJ1222" s="98"/>
      <c r="BK1222" s="98"/>
      <c r="BL1222" s="98"/>
      <c r="BM1222" s="57"/>
    </row>
    <row r="1223" spans="1:65" ht="11.25" x14ac:dyDescent="0.2">
      <c r="A1223" s="57"/>
      <c r="B1223" s="57"/>
      <c r="C1223" s="57"/>
      <c r="D1223" s="57"/>
      <c r="E1223" s="57"/>
      <c r="F1223" s="57"/>
      <c r="G1223" s="57"/>
      <c r="H1223" s="57"/>
      <c r="I1223" s="57"/>
      <c r="J1223" s="57"/>
      <c r="L1223" s="57"/>
      <c r="M1223" s="57"/>
      <c r="N1223" s="57"/>
      <c r="O1223" s="57"/>
      <c r="P1223" s="57"/>
      <c r="Q1223" s="57"/>
      <c r="R1223" s="57"/>
      <c r="S1223" s="57"/>
      <c r="T1223" s="57"/>
      <c r="U1223" s="57"/>
      <c r="V1223" s="57"/>
      <c r="W1223" s="57"/>
      <c r="X1223" s="57"/>
      <c r="Y1223" s="98"/>
      <c r="AA1223" s="98"/>
      <c r="AR1223" s="98"/>
      <c r="AS1223" s="57"/>
      <c r="AU1223" s="57"/>
      <c r="BF1223" s="98"/>
      <c r="BG1223" s="98"/>
      <c r="BH1223" s="98"/>
      <c r="BI1223" s="98"/>
      <c r="BJ1223" s="98"/>
      <c r="BK1223" s="98"/>
      <c r="BL1223" s="98"/>
      <c r="BM1223" s="57"/>
    </row>
    <row r="1224" spans="1:65" ht="11.25" x14ac:dyDescent="0.2">
      <c r="A1224" s="57"/>
      <c r="B1224" s="57"/>
      <c r="C1224" s="57"/>
      <c r="D1224" s="57"/>
      <c r="E1224" s="57"/>
      <c r="F1224" s="57"/>
      <c r="G1224" s="57"/>
      <c r="H1224" s="57"/>
      <c r="I1224" s="57"/>
      <c r="J1224" s="57"/>
      <c r="L1224" s="57"/>
      <c r="M1224" s="57"/>
      <c r="N1224" s="57"/>
      <c r="O1224" s="57"/>
      <c r="P1224" s="57"/>
      <c r="Q1224" s="57"/>
      <c r="R1224" s="57"/>
      <c r="S1224" s="57"/>
      <c r="T1224" s="57"/>
      <c r="U1224" s="57"/>
      <c r="V1224" s="57"/>
      <c r="W1224" s="57"/>
      <c r="X1224" s="57"/>
      <c r="Y1224" s="98"/>
      <c r="AA1224" s="98"/>
      <c r="AR1224" s="98"/>
      <c r="AS1224" s="57"/>
      <c r="AU1224" s="57"/>
      <c r="BF1224" s="98"/>
      <c r="BG1224" s="98"/>
      <c r="BH1224" s="98"/>
      <c r="BI1224" s="98"/>
      <c r="BJ1224" s="98"/>
      <c r="BK1224" s="98"/>
      <c r="BL1224" s="98"/>
      <c r="BM1224" s="57"/>
    </row>
    <row r="1225" spans="1:65" ht="11.25" x14ac:dyDescent="0.2">
      <c r="A1225" s="57"/>
      <c r="B1225" s="57"/>
      <c r="C1225" s="57"/>
      <c r="D1225" s="57"/>
      <c r="E1225" s="57"/>
      <c r="F1225" s="57"/>
      <c r="G1225" s="57"/>
      <c r="H1225" s="57"/>
      <c r="I1225" s="57"/>
      <c r="J1225" s="57"/>
      <c r="L1225" s="57"/>
      <c r="M1225" s="57"/>
      <c r="N1225" s="57"/>
      <c r="O1225" s="57"/>
      <c r="P1225" s="57"/>
      <c r="Q1225" s="57"/>
      <c r="R1225" s="57"/>
      <c r="S1225" s="57"/>
      <c r="T1225" s="57"/>
      <c r="U1225" s="57"/>
      <c r="V1225" s="57"/>
      <c r="W1225" s="57"/>
      <c r="X1225" s="57"/>
      <c r="Y1225" s="98"/>
      <c r="AA1225" s="98"/>
      <c r="AR1225" s="98"/>
      <c r="AS1225" s="57"/>
      <c r="AU1225" s="57"/>
      <c r="BF1225" s="98"/>
      <c r="BG1225" s="98"/>
      <c r="BH1225" s="98"/>
      <c r="BI1225" s="98"/>
      <c r="BJ1225" s="98"/>
      <c r="BK1225" s="98"/>
      <c r="BL1225" s="98"/>
      <c r="BM1225" s="57"/>
    </row>
    <row r="1226" spans="1:65" ht="11.25" x14ac:dyDescent="0.2">
      <c r="A1226" s="57"/>
      <c r="B1226" s="57"/>
      <c r="C1226" s="57"/>
      <c r="D1226" s="57"/>
      <c r="E1226" s="57"/>
      <c r="F1226" s="57"/>
      <c r="G1226" s="57"/>
      <c r="H1226" s="57"/>
      <c r="I1226" s="57"/>
      <c r="J1226" s="57"/>
      <c r="L1226" s="57"/>
      <c r="M1226" s="57"/>
      <c r="N1226" s="57"/>
      <c r="O1226" s="57"/>
      <c r="P1226" s="57"/>
      <c r="Q1226" s="57"/>
      <c r="R1226" s="57"/>
      <c r="S1226" s="57"/>
      <c r="T1226" s="57"/>
      <c r="U1226" s="57"/>
      <c r="V1226" s="57"/>
      <c r="W1226" s="57"/>
      <c r="X1226" s="57"/>
      <c r="Y1226" s="98"/>
      <c r="AA1226" s="98"/>
      <c r="AR1226" s="98"/>
      <c r="AS1226" s="57"/>
      <c r="AU1226" s="57"/>
      <c r="BF1226" s="98"/>
      <c r="BG1226" s="98"/>
      <c r="BH1226" s="98"/>
      <c r="BI1226" s="98"/>
      <c r="BJ1226" s="98"/>
      <c r="BK1226" s="98"/>
      <c r="BL1226" s="98"/>
      <c r="BM1226" s="57"/>
    </row>
    <row r="1227" spans="1:65" ht="11.25" x14ac:dyDescent="0.2">
      <c r="A1227" s="57"/>
      <c r="B1227" s="57"/>
      <c r="C1227" s="57"/>
      <c r="D1227" s="57"/>
      <c r="E1227" s="57"/>
      <c r="F1227" s="57"/>
      <c r="G1227" s="57"/>
      <c r="H1227" s="57"/>
      <c r="I1227" s="57"/>
      <c r="J1227" s="57"/>
      <c r="L1227" s="57"/>
      <c r="M1227" s="57"/>
      <c r="N1227" s="57"/>
      <c r="O1227" s="57"/>
      <c r="P1227" s="57"/>
      <c r="Q1227" s="57"/>
      <c r="R1227" s="57"/>
      <c r="S1227" s="57"/>
      <c r="T1227" s="57"/>
      <c r="U1227" s="57"/>
      <c r="V1227" s="57"/>
      <c r="W1227" s="57"/>
      <c r="X1227" s="57"/>
      <c r="Y1227" s="98"/>
      <c r="AA1227" s="98"/>
      <c r="AR1227" s="98"/>
      <c r="AS1227" s="57"/>
      <c r="AU1227" s="57"/>
      <c r="BF1227" s="98"/>
      <c r="BG1227" s="98"/>
      <c r="BH1227" s="98"/>
      <c r="BI1227" s="98"/>
      <c r="BJ1227" s="98"/>
      <c r="BK1227" s="98"/>
      <c r="BL1227" s="98"/>
      <c r="BM1227" s="57"/>
    </row>
    <row r="1228" spans="1:65" ht="11.25" x14ac:dyDescent="0.2">
      <c r="A1228" s="57"/>
      <c r="B1228" s="57"/>
      <c r="C1228" s="57"/>
      <c r="D1228" s="57"/>
      <c r="E1228" s="57"/>
      <c r="F1228" s="57"/>
      <c r="G1228" s="57"/>
      <c r="H1228" s="57"/>
      <c r="I1228" s="57"/>
      <c r="J1228" s="57"/>
      <c r="L1228" s="57"/>
      <c r="M1228" s="57"/>
      <c r="N1228" s="57"/>
      <c r="O1228" s="57"/>
      <c r="P1228" s="57"/>
      <c r="Q1228" s="57"/>
      <c r="R1228" s="57"/>
      <c r="S1228" s="57"/>
      <c r="T1228" s="57"/>
      <c r="U1228" s="57"/>
      <c r="V1228" s="57"/>
      <c r="W1228" s="57"/>
      <c r="X1228" s="57"/>
      <c r="Y1228" s="98"/>
      <c r="AA1228" s="98"/>
      <c r="AR1228" s="98"/>
      <c r="AS1228" s="57"/>
      <c r="AU1228" s="57"/>
      <c r="BF1228" s="98"/>
      <c r="BG1228" s="98"/>
      <c r="BH1228" s="98"/>
      <c r="BI1228" s="98"/>
      <c r="BJ1228" s="98"/>
      <c r="BK1228" s="98"/>
      <c r="BL1228" s="98"/>
      <c r="BM1228" s="57"/>
    </row>
    <row r="1229" spans="1:65" ht="11.25" x14ac:dyDescent="0.2">
      <c r="A1229" s="57"/>
      <c r="B1229" s="57"/>
      <c r="C1229" s="57"/>
      <c r="D1229" s="57"/>
      <c r="E1229" s="57"/>
      <c r="F1229" s="57"/>
      <c r="G1229" s="57"/>
      <c r="H1229" s="57"/>
      <c r="I1229" s="57"/>
      <c r="J1229" s="57"/>
      <c r="L1229" s="57"/>
      <c r="M1229" s="57"/>
      <c r="N1229" s="57"/>
      <c r="O1229" s="57"/>
      <c r="P1229" s="57"/>
      <c r="Q1229" s="57"/>
      <c r="R1229" s="57"/>
      <c r="S1229" s="57"/>
      <c r="T1229" s="57"/>
      <c r="U1229" s="57"/>
      <c r="V1229" s="57"/>
      <c r="W1229" s="57"/>
      <c r="X1229" s="57"/>
      <c r="Y1229" s="98"/>
      <c r="AA1229" s="98"/>
      <c r="AR1229" s="98"/>
      <c r="AS1229" s="57"/>
      <c r="AU1229" s="57"/>
      <c r="BF1229" s="98"/>
      <c r="BG1229" s="98"/>
      <c r="BH1229" s="98"/>
      <c r="BI1229" s="98"/>
      <c r="BJ1229" s="98"/>
      <c r="BK1229" s="98"/>
      <c r="BL1229" s="98"/>
      <c r="BM1229" s="57"/>
    </row>
    <row r="1230" spans="1:65" ht="11.25" x14ac:dyDescent="0.2">
      <c r="A1230" s="57"/>
      <c r="B1230" s="57"/>
      <c r="C1230" s="57"/>
      <c r="D1230" s="57"/>
      <c r="E1230" s="57"/>
      <c r="F1230" s="57"/>
      <c r="G1230" s="57"/>
      <c r="H1230" s="57"/>
      <c r="I1230" s="57"/>
      <c r="J1230" s="57"/>
      <c r="L1230" s="57"/>
      <c r="M1230" s="57"/>
      <c r="N1230" s="57"/>
      <c r="O1230" s="57"/>
      <c r="P1230" s="57"/>
      <c r="Q1230" s="57"/>
      <c r="R1230" s="57"/>
      <c r="S1230" s="57"/>
      <c r="T1230" s="57"/>
      <c r="U1230" s="57"/>
      <c r="V1230" s="57"/>
      <c r="W1230" s="57"/>
      <c r="X1230" s="57"/>
      <c r="Y1230" s="98"/>
      <c r="AA1230" s="98"/>
      <c r="AR1230" s="98"/>
      <c r="AS1230" s="57"/>
      <c r="AU1230" s="57"/>
      <c r="BF1230" s="98"/>
      <c r="BG1230" s="98"/>
      <c r="BH1230" s="98"/>
      <c r="BI1230" s="98"/>
      <c r="BJ1230" s="98"/>
      <c r="BK1230" s="98"/>
      <c r="BL1230" s="98"/>
      <c r="BM1230" s="57"/>
    </row>
    <row r="1231" spans="1:65" ht="11.25" x14ac:dyDescent="0.2">
      <c r="A1231" s="57"/>
      <c r="B1231" s="57"/>
      <c r="C1231" s="57"/>
      <c r="D1231" s="57"/>
      <c r="E1231" s="57"/>
      <c r="F1231" s="57"/>
      <c r="G1231" s="57"/>
      <c r="H1231" s="57"/>
      <c r="I1231" s="57"/>
      <c r="J1231" s="57"/>
      <c r="L1231" s="57"/>
      <c r="M1231" s="57"/>
      <c r="N1231" s="57"/>
      <c r="O1231" s="57"/>
      <c r="P1231" s="57"/>
      <c r="Q1231" s="57"/>
      <c r="R1231" s="57"/>
      <c r="S1231" s="57"/>
      <c r="T1231" s="57"/>
      <c r="U1231" s="57"/>
      <c r="V1231" s="57"/>
      <c r="W1231" s="57"/>
      <c r="X1231" s="57"/>
      <c r="Y1231" s="98"/>
      <c r="AA1231" s="98"/>
      <c r="AR1231" s="98"/>
      <c r="AS1231" s="57"/>
      <c r="AU1231" s="57"/>
      <c r="BF1231" s="98"/>
      <c r="BG1231" s="98"/>
      <c r="BH1231" s="98"/>
      <c r="BI1231" s="98"/>
      <c r="BJ1231" s="98"/>
      <c r="BK1231" s="98"/>
      <c r="BL1231" s="98"/>
      <c r="BM1231" s="57"/>
    </row>
    <row r="1232" spans="1:65" ht="11.25" x14ac:dyDescent="0.2">
      <c r="A1232" s="57"/>
      <c r="B1232" s="57"/>
      <c r="C1232" s="57"/>
      <c r="D1232" s="57"/>
      <c r="E1232" s="57"/>
      <c r="F1232" s="57"/>
      <c r="G1232" s="57"/>
      <c r="H1232" s="57"/>
      <c r="I1232" s="57"/>
      <c r="J1232" s="57"/>
      <c r="L1232" s="57"/>
      <c r="M1232" s="57"/>
      <c r="N1232" s="57"/>
      <c r="O1232" s="57"/>
      <c r="P1232" s="57"/>
      <c r="Q1232" s="57"/>
      <c r="R1232" s="57"/>
      <c r="S1232" s="57"/>
      <c r="T1232" s="57"/>
      <c r="U1232" s="57"/>
      <c r="V1232" s="57"/>
      <c r="W1232" s="57"/>
      <c r="X1232" s="57"/>
      <c r="Y1232" s="98"/>
      <c r="AA1232" s="98"/>
      <c r="AR1232" s="98"/>
      <c r="AS1232" s="57"/>
      <c r="AU1232" s="57"/>
      <c r="BF1232" s="98"/>
      <c r="BG1232" s="98"/>
      <c r="BH1232" s="98"/>
      <c r="BI1232" s="98"/>
      <c r="BJ1232" s="98"/>
      <c r="BK1232" s="98"/>
      <c r="BL1232" s="98"/>
      <c r="BM1232" s="57"/>
    </row>
    <row r="1233" spans="1:65" ht="11.25" x14ac:dyDescent="0.2">
      <c r="A1233" s="57"/>
      <c r="B1233" s="57"/>
      <c r="C1233" s="57"/>
      <c r="D1233" s="57"/>
      <c r="E1233" s="57"/>
      <c r="F1233" s="57"/>
      <c r="G1233" s="57"/>
      <c r="H1233" s="57"/>
      <c r="I1233" s="57"/>
      <c r="J1233" s="57"/>
      <c r="L1233" s="57"/>
      <c r="M1233" s="57"/>
      <c r="N1233" s="57"/>
      <c r="O1233" s="57"/>
      <c r="P1233" s="57"/>
      <c r="Q1233" s="57"/>
      <c r="R1233" s="57"/>
      <c r="S1233" s="57"/>
      <c r="T1233" s="57"/>
      <c r="U1233" s="57"/>
      <c r="V1233" s="57"/>
      <c r="W1233" s="57"/>
      <c r="X1233" s="57"/>
      <c r="Y1233" s="98"/>
      <c r="AA1233" s="98"/>
      <c r="AR1233" s="98"/>
      <c r="AS1233" s="57"/>
      <c r="AU1233" s="57"/>
      <c r="BF1233" s="98"/>
      <c r="BG1233" s="98"/>
      <c r="BH1233" s="98"/>
      <c r="BI1233" s="98"/>
      <c r="BJ1233" s="98"/>
      <c r="BK1233" s="98"/>
      <c r="BL1233" s="98"/>
      <c r="BM1233" s="57"/>
    </row>
    <row r="1234" spans="1:65" ht="11.25" x14ac:dyDescent="0.2">
      <c r="A1234" s="57"/>
      <c r="B1234" s="57"/>
      <c r="C1234" s="57"/>
      <c r="D1234" s="57"/>
      <c r="E1234" s="57"/>
      <c r="F1234" s="57"/>
      <c r="G1234" s="57"/>
      <c r="H1234" s="57"/>
      <c r="I1234" s="57"/>
      <c r="J1234" s="57"/>
      <c r="L1234" s="57"/>
      <c r="M1234" s="57"/>
      <c r="N1234" s="57"/>
      <c r="O1234" s="57"/>
      <c r="P1234" s="57"/>
      <c r="Q1234" s="57"/>
      <c r="R1234" s="57"/>
      <c r="S1234" s="57"/>
      <c r="T1234" s="57"/>
      <c r="U1234" s="57"/>
      <c r="V1234" s="57"/>
      <c r="W1234" s="57"/>
      <c r="X1234" s="57"/>
      <c r="Y1234" s="98"/>
      <c r="AA1234" s="98"/>
      <c r="AR1234" s="98"/>
      <c r="AS1234" s="57"/>
      <c r="AU1234" s="57"/>
      <c r="BF1234" s="98"/>
      <c r="BG1234" s="98"/>
      <c r="BH1234" s="98"/>
      <c r="BI1234" s="98"/>
      <c r="BJ1234" s="98"/>
      <c r="BK1234" s="98"/>
      <c r="BL1234" s="98"/>
      <c r="BM1234" s="57"/>
    </row>
    <row r="1235" spans="1:65" ht="11.25" x14ac:dyDescent="0.2">
      <c r="A1235" s="57"/>
      <c r="B1235" s="57"/>
      <c r="C1235" s="57"/>
      <c r="D1235" s="57"/>
      <c r="E1235" s="57"/>
      <c r="F1235" s="57"/>
      <c r="G1235" s="57"/>
      <c r="H1235" s="57"/>
      <c r="I1235" s="57"/>
      <c r="J1235" s="57"/>
      <c r="L1235" s="57"/>
      <c r="M1235" s="57"/>
      <c r="N1235" s="57"/>
      <c r="O1235" s="57"/>
      <c r="P1235" s="57"/>
      <c r="Q1235" s="57"/>
      <c r="R1235" s="57"/>
      <c r="S1235" s="57"/>
      <c r="T1235" s="57"/>
      <c r="U1235" s="57"/>
      <c r="V1235" s="57"/>
      <c r="W1235" s="57"/>
      <c r="X1235" s="57"/>
      <c r="Y1235" s="98"/>
      <c r="AA1235" s="98"/>
      <c r="AR1235" s="98"/>
      <c r="AS1235" s="57"/>
      <c r="AU1235" s="57"/>
      <c r="BF1235" s="98"/>
      <c r="BG1235" s="98"/>
      <c r="BH1235" s="98"/>
      <c r="BI1235" s="98"/>
      <c r="BJ1235" s="98"/>
      <c r="BK1235" s="98"/>
      <c r="BL1235" s="98"/>
      <c r="BM1235" s="57"/>
    </row>
    <row r="1236" spans="1:65" ht="11.25" x14ac:dyDescent="0.2">
      <c r="A1236" s="57"/>
      <c r="B1236" s="57"/>
      <c r="C1236" s="57"/>
      <c r="D1236" s="57"/>
      <c r="E1236" s="57"/>
      <c r="F1236" s="57"/>
      <c r="G1236" s="57"/>
      <c r="H1236" s="57"/>
      <c r="I1236" s="57"/>
      <c r="J1236" s="57"/>
      <c r="L1236" s="57"/>
      <c r="M1236" s="57"/>
      <c r="N1236" s="57"/>
      <c r="O1236" s="57"/>
      <c r="P1236" s="57"/>
      <c r="Q1236" s="57"/>
      <c r="R1236" s="57"/>
      <c r="S1236" s="57"/>
      <c r="T1236" s="57"/>
      <c r="U1236" s="57"/>
      <c r="V1236" s="57"/>
      <c r="W1236" s="57"/>
      <c r="X1236" s="57"/>
      <c r="Y1236" s="98"/>
      <c r="AA1236" s="98"/>
      <c r="AR1236" s="98"/>
      <c r="AS1236" s="57"/>
      <c r="AU1236" s="57"/>
      <c r="BF1236" s="98"/>
      <c r="BG1236" s="98"/>
      <c r="BH1236" s="98"/>
      <c r="BI1236" s="98"/>
      <c r="BJ1236" s="98"/>
      <c r="BK1236" s="98"/>
      <c r="BL1236" s="98"/>
      <c r="BM1236" s="57"/>
    </row>
    <row r="1237" spans="1:65" ht="11.25" x14ac:dyDescent="0.2">
      <c r="A1237" s="57"/>
      <c r="B1237" s="57"/>
      <c r="C1237" s="57"/>
      <c r="D1237" s="57"/>
      <c r="E1237" s="57"/>
      <c r="F1237" s="57"/>
      <c r="G1237" s="57"/>
      <c r="H1237" s="57"/>
      <c r="I1237" s="57"/>
      <c r="J1237" s="57"/>
      <c r="L1237" s="57"/>
      <c r="M1237" s="57"/>
      <c r="N1237" s="57"/>
      <c r="O1237" s="57"/>
      <c r="P1237" s="57"/>
      <c r="Q1237" s="57"/>
      <c r="R1237" s="57"/>
      <c r="S1237" s="57"/>
      <c r="T1237" s="57"/>
      <c r="U1237" s="57"/>
      <c r="V1237" s="57"/>
      <c r="W1237" s="57"/>
      <c r="X1237" s="57"/>
      <c r="Y1237" s="98"/>
      <c r="AA1237" s="98"/>
      <c r="AR1237" s="98"/>
      <c r="AS1237" s="57"/>
      <c r="AU1237" s="57"/>
      <c r="BF1237" s="98"/>
      <c r="BG1237" s="98"/>
      <c r="BH1237" s="98"/>
      <c r="BI1237" s="98"/>
      <c r="BJ1237" s="98"/>
      <c r="BK1237" s="98"/>
      <c r="BL1237" s="98"/>
      <c r="BM1237" s="57"/>
    </row>
    <row r="1238" spans="1:65" ht="11.25" x14ac:dyDescent="0.2">
      <c r="A1238" s="57"/>
      <c r="B1238" s="57"/>
      <c r="C1238" s="57"/>
      <c r="D1238" s="57"/>
      <c r="E1238" s="57"/>
      <c r="F1238" s="57"/>
      <c r="G1238" s="57"/>
      <c r="H1238" s="57"/>
      <c r="I1238" s="57"/>
      <c r="J1238" s="57"/>
      <c r="L1238" s="57"/>
      <c r="M1238" s="57"/>
      <c r="N1238" s="57"/>
      <c r="O1238" s="57"/>
      <c r="P1238" s="57"/>
      <c r="Q1238" s="57"/>
      <c r="R1238" s="57"/>
      <c r="S1238" s="57"/>
      <c r="T1238" s="57"/>
      <c r="U1238" s="57"/>
      <c r="V1238" s="57"/>
      <c r="W1238" s="57"/>
      <c r="X1238" s="57"/>
      <c r="Y1238" s="98"/>
      <c r="AA1238" s="98"/>
      <c r="AR1238" s="98"/>
      <c r="AS1238" s="57"/>
      <c r="AU1238" s="57"/>
      <c r="BF1238" s="98"/>
      <c r="BG1238" s="98"/>
      <c r="BH1238" s="98"/>
      <c r="BI1238" s="98"/>
      <c r="BJ1238" s="98"/>
      <c r="BK1238" s="98"/>
      <c r="BL1238" s="98"/>
      <c r="BM1238" s="57"/>
    </row>
    <row r="1239" spans="1:65" ht="11.25" x14ac:dyDescent="0.2">
      <c r="A1239" s="57"/>
      <c r="B1239" s="57"/>
      <c r="C1239" s="57"/>
      <c r="D1239" s="57"/>
      <c r="E1239" s="57"/>
      <c r="F1239" s="57"/>
      <c r="G1239" s="57"/>
      <c r="H1239" s="57"/>
      <c r="I1239" s="57"/>
      <c r="J1239" s="57"/>
      <c r="L1239" s="57"/>
      <c r="M1239" s="57"/>
      <c r="N1239" s="57"/>
      <c r="O1239" s="57"/>
      <c r="P1239" s="57"/>
      <c r="Q1239" s="57"/>
      <c r="R1239" s="57"/>
      <c r="S1239" s="57"/>
      <c r="T1239" s="57"/>
      <c r="U1239" s="57"/>
      <c r="V1239" s="57"/>
      <c r="W1239" s="57"/>
      <c r="X1239" s="57"/>
      <c r="Y1239" s="98"/>
      <c r="AA1239" s="98"/>
      <c r="AR1239" s="98"/>
      <c r="AS1239" s="57"/>
      <c r="AU1239" s="57"/>
      <c r="BF1239" s="98"/>
      <c r="BG1239" s="98"/>
      <c r="BH1239" s="98"/>
      <c r="BI1239" s="98"/>
      <c r="BJ1239" s="98"/>
      <c r="BK1239" s="98"/>
      <c r="BL1239" s="98"/>
      <c r="BM1239" s="57"/>
    </row>
    <row r="1240" spans="1:65" ht="11.25" x14ac:dyDescent="0.2">
      <c r="A1240" s="57"/>
      <c r="B1240" s="57"/>
      <c r="C1240" s="57"/>
      <c r="D1240" s="57"/>
      <c r="E1240" s="57"/>
      <c r="F1240" s="57"/>
      <c r="G1240" s="57"/>
      <c r="H1240" s="57"/>
      <c r="I1240" s="57"/>
      <c r="J1240" s="57"/>
      <c r="L1240" s="57"/>
      <c r="M1240" s="57"/>
      <c r="N1240" s="57"/>
      <c r="O1240" s="57"/>
      <c r="P1240" s="57"/>
      <c r="Q1240" s="57"/>
      <c r="R1240" s="57"/>
      <c r="S1240" s="57"/>
      <c r="T1240" s="57"/>
      <c r="U1240" s="57"/>
      <c r="V1240" s="57"/>
      <c r="W1240" s="57"/>
      <c r="X1240" s="57"/>
      <c r="Y1240" s="98"/>
      <c r="AA1240" s="98"/>
      <c r="AR1240" s="98"/>
      <c r="AS1240" s="57"/>
      <c r="AU1240" s="57"/>
      <c r="BF1240" s="98"/>
      <c r="BG1240" s="98"/>
      <c r="BH1240" s="98"/>
      <c r="BI1240" s="98"/>
      <c r="BJ1240" s="98"/>
      <c r="BK1240" s="98"/>
      <c r="BL1240" s="98"/>
      <c r="BM1240" s="57"/>
    </row>
    <row r="1241" spans="1:65" ht="11.25" x14ac:dyDescent="0.2">
      <c r="A1241" s="57"/>
      <c r="B1241" s="57"/>
      <c r="C1241" s="57"/>
      <c r="D1241" s="57"/>
      <c r="E1241" s="57"/>
      <c r="F1241" s="57"/>
      <c r="G1241" s="57"/>
      <c r="H1241" s="57"/>
      <c r="I1241" s="57"/>
      <c r="J1241" s="57"/>
      <c r="L1241" s="57"/>
      <c r="M1241" s="57"/>
      <c r="N1241" s="57"/>
      <c r="O1241" s="57"/>
      <c r="P1241" s="57"/>
      <c r="Q1241" s="57"/>
      <c r="R1241" s="57"/>
      <c r="S1241" s="57"/>
      <c r="T1241" s="57"/>
      <c r="U1241" s="57"/>
      <c r="V1241" s="57"/>
      <c r="W1241" s="57"/>
      <c r="X1241" s="57"/>
      <c r="Y1241" s="98"/>
      <c r="AA1241" s="98"/>
      <c r="AR1241" s="98"/>
      <c r="AS1241" s="57"/>
      <c r="AU1241" s="57"/>
      <c r="BF1241" s="98"/>
      <c r="BG1241" s="98"/>
      <c r="BH1241" s="98"/>
      <c r="BI1241" s="98"/>
      <c r="BJ1241" s="98"/>
      <c r="BK1241" s="98"/>
      <c r="BL1241" s="98"/>
      <c r="BM1241" s="57"/>
    </row>
    <row r="1242" spans="1:65" ht="11.25" x14ac:dyDescent="0.2">
      <c r="A1242" s="57"/>
      <c r="B1242" s="57"/>
      <c r="C1242" s="57"/>
      <c r="D1242" s="57"/>
      <c r="E1242" s="57"/>
      <c r="F1242" s="57"/>
      <c r="G1242" s="57"/>
      <c r="H1242" s="57"/>
      <c r="I1242" s="57"/>
      <c r="J1242" s="57"/>
      <c r="L1242" s="57"/>
      <c r="M1242" s="57"/>
      <c r="N1242" s="57"/>
      <c r="O1242" s="57"/>
      <c r="P1242" s="57"/>
      <c r="Q1242" s="57"/>
      <c r="R1242" s="57"/>
      <c r="S1242" s="57"/>
      <c r="T1242" s="57"/>
      <c r="U1242" s="57"/>
      <c r="V1242" s="57"/>
      <c r="W1242" s="57"/>
      <c r="X1242" s="57"/>
      <c r="Y1242" s="98"/>
      <c r="AA1242" s="98"/>
      <c r="AR1242" s="98"/>
      <c r="AS1242" s="57"/>
      <c r="AU1242" s="57"/>
      <c r="BF1242" s="98"/>
      <c r="BG1242" s="98"/>
      <c r="BH1242" s="98"/>
      <c r="BI1242" s="98"/>
      <c r="BJ1242" s="98"/>
      <c r="BK1242" s="98"/>
      <c r="BL1242" s="98"/>
      <c r="BM1242" s="57"/>
    </row>
    <row r="1243" spans="1:65" ht="11.25" x14ac:dyDescent="0.2">
      <c r="A1243" s="57"/>
      <c r="B1243" s="57"/>
      <c r="C1243" s="57"/>
      <c r="D1243" s="57"/>
      <c r="E1243" s="57"/>
      <c r="F1243" s="57"/>
      <c r="G1243" s="57"/>
      <c r="H1243" s="57"/>
      <c r="I1243" s="57"/>
      <c r="J1243" s="57"/>
      <c r="L1243" s="57"/>
      <c r="M1243" s="57"/>
      <c r="N1243" s="57"/>
      <c r="O1243" s="57"/>
      <c r="P1243" s="57"/>
      <c r="Q1243" s="57"/>
      <c r="R1243" s="57"/>
      <c r="S1243" s="57"/>
      <c r="T1243" s="57"/>
      <c r="U1243" s="57"/>
      <c r="V1243" s="57"/>
      <c r="W1243" s="57"/>
      <c r="X1243" s="57"/>
      <c r="Y1243" s="98"/>
      <c r="AA1243" s="98"/>
      <c r="AR1243" s="98"/>
      <c r="AS1243" s="57"/>
      <c r="AU1243" s="57"/>
      <c r="BF1243" s="98"/>
      <c r="BG1243" s="98"/>
      <c r="BH1243" s="98"/>
      <c r="BI1243" s="98"/>
      <c r="BJ1243" s="98"/>
      <c r="BK1243" s="98"/>
      <c r="BL1243" s="98"/>
      <c r="BM1243" s="57"/>
    </row>
    <row r="1244" spans="1:65" ht="11.25" x14ac:dyDescent="0.2">
      <c r="A1244" s="57"/>
      <c r="B1244" s="57"/>
      <c r="C1244" s="57"/>
      <c r="D1244" s="57"/>
      <c r="E1244" s="57"/>
      <c r="F1244" s="57"/>
      <c r="G1244" s="57"/>
      <c r="H1244" s="57"/>
      <c r="I1244" s="57"/>
      <c r="J1244" s="57"/>
      <c r="L1244" s="57"/>
      <c r="M1244" s="57"/>
      <c r="N1244" s="57"/>
      <c r="O1244" s="57"/>
      <c r="P1244" s="57"/>
      <c r="Q1244" s="57"/>
      <c r="R1244" s="57"/>
      <c r="S1244" s="57"/>
      <c r="T1244" s="57"/>
      <c r="U1244" s="57"/>
      <c r="V1244" s="57"/>
      <c r="W1244" s="57"/>
      <c r="X1244" s="57"/>
      <c r="Y1244" s="98"/>
      <c r="AA1244" s="98"/>
      <c r="AR1244" s="98"/>
      <c r="AS1244" s="57"/>
      <c r="AU1244" s="57"/>
      <c r="BF1244" s="98"/>
      <c r="BG1244" s="98"/>
      <c r="BH1244" s="98"/>
      <c r="BI1244" s="98"/>
      <c r="BJ1244" s="98"/>
      <c r="BK1244" s="98"/>
      <c r="BL1244" s="98"/>
      <c r="BM1244" s="57"/>
    </row>
    <row r="1245" spans="1:65" ht="11.25" x14ac:dyDescent="0.2">
      <c r="A1245" s="57"/>
      <c r="B1245" s="57"/>
      <c r="C1245" s="57"/>
      <c r="D1245" s="57"/>
      <c r="E1245" s="57"/>
      <c r="F1245" s="57"/>
      <c r="G1245" s="57"/>
      <c r="H1245" s="57"/>
      <c r="I1245" s="57"/>
      <c r="J1245" s="57"/>
      <c r="L1245" s="57"/>
      <c r="M1245" s="57"/>
      <c r="N1245" s="57"/>
      <c r="O1245" s="57"/>
      <c r="P1245" s="57"/>
      <c r="Q1245" s="57"/>
      <c r="R1245" s="57"/>
      <c r="S1245" s="57"/>
      <c r="T1245" s="57"/>
      <c r="U1245" s="57"/>
      <c r="V1245" s="57"/>
      <c r="W1245" s="57"/>
      <c r="X1245" s="57"/>
      <c r="Y1245" s="98"/>
      <c r="AA1245" s="98"/>
      <c r="AR1245" s="98"/>
      <c r="AS1245" s="57"/>
      <c r="AU1245" s="57"/>
      <c r="BF1245" s="98"/>
      <c r="BG1245" s="98"/>
      <c r="BH1245" s="98"/>
      <c r="BI1245" s="98"/>
      <c r="BJ1245" s="98"/>
      <c r="BK1245" s="98"/>
      <c r="BL1245" s="98"/>
      <c r="BM1245" s="57"/>
    </row>
    <row r="1246" spans="1:65" ht="11.25" x14ac:dyDescent="0.2">
      <c r="A1246" s="57"/>
      <c r="B1246" s="57"/>
      <c r="C1246" s="57"/>
      <c r="D1246" s="57"/>
      <c r="E1246" s="57"/>
      <c r="F1246" s="57"/>
      <c r="G1246" s="57"/>
      <c r="H1246" s="57"/>
      <c r="I1246" s="57"/>
      <c r="J1246" s="57"/>
      <c r="L1246" s="57"/>
      <c r="M1246" s="57"/>
      <c r="N1246" s="57"/>
      <c r="O1246" s="57"/>
      <c r="P1246" s="57"/>
      <c r="Q1246" s="57"/>
      <c r="R1246" s="57"/>
      <c r="S1246" s="57"/>
      <c r="T1246" s="57"/>
      <c r="U1246" s="57"/>
      <c r="V1246" s="57"/>
      <c r="W1246" s="57"/>
      <c r="X1246" s="57"/>
      <c r="Y1246" s="98"/>
      <c r="AA1246" s="98"/>
      <c r="AR1246" s="98"/>
      <c r="AS1246" s="57"/>
      <c r="AU1246" s="57"/>
      <c r="BF1246" s="98"/>
      <c r="BG1246" s="98"/>
      <c r="BH1246" s="98"/>
      <c r="BI1246" s="98"/>
      <c r="BJ1246" s="98"/>
      <c r="BK1246" s="98"/>
      <c r="BL1246" s="98"/>
      <c r="BM1246" s="57"/>
    </row>
    <row r="1247" spans="1:65" ht="11.25" x14ac:dyDescent="0.2">
      <c r="A1247" s="57"/>
      <c r="B1247" s="57"/>
      <c r="C1247" s="57"/>
      <c r="D1247" s="57"/>
      <c r="E1247" s="57"/>
      <c r="F1247" s="57"/>
      <c r="G1247" s="57"/>
      <c r="H1247" s="57"/>
      <c r="I1247" s="57"/>
      <c r="J1247" s="57"/>
      <c r="L1247" s="57"/>
      <c r="M1247" s="57"/>
      <c r="N1247" s="57"/>
      <c r="O1247" s="57"/>
      <c r="P1247" s="57"/>
      <c r="Q1247" s="57"/>
      <c r="R1247" s="57"/>
      <c r="S1247" s="57"/>
      <c r="T1247" s="57"/>
      <c r="U1247" s="57"/>
      <c r="V1247" s="57"/>
      <c r="W1247" s="57"/>
      <c r="X1247" s="57"/>
      <c r="Y1247" s="98"/>
      <c r="AA1247" s="98"/>
      <c r="AR1247" s="98"/>
      <c r="AS1247" s="57"/>
      <c r="AU1247" s="57"/>
      <c r="BF1247" s="98"/>
      <c r="BG1247" s="98"/>
      <c r="BH1247" s="98"/>
      <c r="BI1247" s="98"/>
      <c r="BJ1247" s="98"/>
      <c r="BK1247" s="98"/>
      <c r="BL1247" s="98"/>
      <c r="BM1247" s="57"/>
    </row>
    <row r="1248" spans="1:65" ht="11.25" x14ac:dyDescent="0.2">
      <c r="A1248" s="57"/>
      <c r="B1248" s="57"/>
      <c r="C1248" s="57"/>
      <c r="D1248" s="57"/>
      <c r="E1248" s="57"/>
      <c r="F1248" s="57"/>
      <c r="G1248" s="57"/>
      <c r="H1248" s="57"/>
      <c r="I1248" s="57"/>
      <c r="J1248" s="57"/>
      <c r="L1248" s="57"/>
      <c r="M1248" s="57"/>
      <c r="N1248" s="57"/>
      <c r="O1248" s="57"/>
      <c r="P1248" s="57"/>
      <c r="Q1248" s="57"/>
      <c r="R1248" s="57"/>
      <c r="S1248" s="57"/>
      <c r="T1248" s="57"/>
      <c r="U1248" s="57"/>
      <c r="V1248" s="57"/>
      <c r="W1248" s="57"/>
      <c r="X1248" s="57"/>
      <c r="Y1248" s="98"/>
      <c r="AA1248" s="98"/>
      <c r="AR1248" s="98"/>
      <c r="AS1248" s="57"/>
      <c r="AU1248" s="57"/>
      <c r="BF1248" s="98"/>
      <c r="BG1248" s="98"/>
      <c r="BH1248" s="98"/>
      <c r="BI1248" s="98"/>
      <c r="BJ1248" s="98"/>
      <c r="BK1248" s="98"/>
      <c r="BL1248" s="98"/>
      <c r="BM1248" s="57"/>
    </row>
    <row r="1249" spans="1:65" ht="11.25" x14ac:dyDescent="0.2">
      <c r="A1249" s="57"/>
      <c r="B1249" s="57"/>
      <c r="C1249" s="57"/>
      <c r="D1249" s="57"/>
      <c r="E1249" s="57"/>
      <c r="F1249" s="57"/>
      <c r="G1249" s="57"/>
      <c r="H1249" s="57"/>
      <c r="I1249" s="57"/>
      <c r="J1249" s="57"/>
      <c r="L1249" s="57"/>
      <c r="M1249" s="57"/>
      <c r="N1249" s="57"/>
      <c r="O1249" s="57"/>
      <c r="P1249" s="57"/>
      <c r="Q1249" s="57"/>
      <c r="R1249" s="57"/>
      <c r="S1249" s="57"/>
      <c r="T1249" s="57"/>
      <c r="U1249" s="57"/>
      <c r="V1249" s="57"/>
      <c r="W1249" s="57"/>
      <c r="X1249" s="57"/>
      <c r="Y1249" s="98"/>
      <c r="AA1249" s="98"/>
      <c r="AR1249" s="98"/>
      <c r="AS1249" s="57"/>
      <c r="AU1249" s="57"/>
      <c r="BF1249" s="98"/>
      <c r="BG1249" s="98"/>
      <c r="BH1249" s="98"/>
      <c r="BI1249" s="98"/>
      <c r="BJ1249" s="98"/>
      <c r="BK1249" s="98"/>
      <c r="BL1249" s="98"/>
      <c r="BM1249" s="57"/>
    </row>
    <row r="1250" spans="1:65" ht="11.25" x14ac:dyDescent="0.2">
      <c r="A1250" s="57"/>
      <c r="B1250" s="57"/>
      <c r="C1250" s="57"/>
      <c r="D1250" s="57"/>
      <c r="E1250" s="57"/>
      <c r="F1250" s="57"/>
      <c r="G1250" s="57"/>
      <c r="H1250" s="57"/>
      <c r="I1250" s="57"/>
      <c r="J1250" s="57"/>
      <c r="L1250" s="57"/>
      <c r="M1250" s="57"/>
      <c r="N1250" s="57"/>
      <c r="O1250" s="57"/>
      <c r="P1250" s="57"/>
      <c r="Q1250" s="57"/>
      <c r="R1250" s="57"/>
      <c r="S1250" s="57"/>
      <c r="T1250" s="57"/>
      <c r="U1250" s="57"/>
      <c r="V1250" s="57"/>
      <c r="W1250" s="57"/>
      <c r="X1250" s="57"/>
      <c r="Y1250" s="98"/>
      <c r="AA1250" s="98"/>
      <c r="AR1250" s="98"/>
      <c r="AS1250" s="57"/>
      <c r="AU1250" s="57"/>
      <c r="BF1250" s="98"/>
      <c r="BG1250" s="98"/>
      <c r="BH1250" s="98"/>
      <c r="BI1250" s="98"/>
      <c r="BJ1250" s="98"/>
      <c r="BK1250" s="98"/>
      <c r="BL1250" s="98"/>
      <c r="BM1250" s="57"/>
    </row>
    <row r="1251" spans="1:65" ht="11.25" x14ac:dyDescent="0.2">
      <c r="A1251" s="57"/>
      <c r="B1251" s="57"/>
      <c r="C1251" s="57"/>
      <c r="D1251" s="57"/>
      <c r="E1251" s="57"/>
      <c r="F1251" s="57"/>
      <c r="G1251" s="57"/>
      <c r="H1251" s="57"/>
      <c r="I1251" s="57"/>
      <c r="J1251" s="57"/>
      <c r="L1251" s="57"/>
      <c r="M1251" s="57"/>
      <c r="N1251" s="57"/>
      <c r="O1251" s="57"/>
      <c r="P1251" s="57"/>
      <c r="Q1251" s="57"/>
      <c r="R1251" s="57"/>
      <c r="S1251" s="57"/>
      <c r="T1251" s="57"/>
      <c r="U1251" s="57"/>
      <c r="V1251" s="57"/>
      <c r="W1251" s="57"/>
      <c r="X1251" s="57"/>
      <c r="Y1251" s="98"/>
      <c r="AA1251" s="98"/>
      <c r="AR1251" s="98"/>
      <c r="AS1251" s="57"/>
      <c r="AU1251" s="57"/>
      <c r="BF1251" s="98"/>
      <c r="BG1251" s="98"/>
      <c r="BH1251" s="98"/>
      <c r="BI1251" s="98"/>
      <c r="BJ1251" s="98"/>
      <c r="BK1251" s="98"/>
      <c r="BL1251" s="98"/>
      <c r="BM1251" s="57"/>
    </row>
    <row r="1252" spans="1:65" ht="11.25" x14ac:dyDescent="0.2">
      <c r="A1252" s="57"/>
      <c r="B1252" s="57"/>
      <c r="C1252" s="57"/>
      <c r="D1252" s="57"/>
      <c r="E1252" s="57"/>
      <c r="F1252" s="57"/>
      <c r="G1252" s="57"/>
      <c r="H1252" s="57"/>
      <c r="I1252" s="57"/>
      <c r="J1252" s="57"/>
      <c r="L1252" s="57"/>
      <c r="M1252" s="57"/>
      <c r="N1252" s="57"/>
      <c r="O1252" s="57"/>
      <c r="P1252" s="57"/>
      <c r="Q1252" s="57"/>
      <c r="R1252" s="57"/>
      <c r="S1252" s="57"/>
      <c r="T1252" s="57"/>
      <c r="U1252" s="57"/>
      <c r="V1252" s="57"/>
      <c r="W1252" s="57"/>
      <c r="X1252" s="57"/>
      <c r="Y1252" s="98"/>
      <c r="AA1252" s="98"/>
      <c r="AR1252" s="98"/>
      <c r="AS1252" s="57"/>
      <c r="AU1252" s="57"/>
      <c r="BF1252" s="98"/>
      <c r="BG1252" s="98"/>
      <c r="BH1252" s="98"/>
      <c r="BI1252" s="98"/>
      <c r="BJ1252" s="98"/>
      <c r="BK1252" s="98"/>
      <c r="BL1252" s="98"/>
      <c r="BM1252" s="57"/>
    </row>
    <row r="1253" spans="1:65" ht="11.25" x14ac:dyDescent="0.2">
      <c r="A1253" s="57"/>
      <c r="B1253" s="57"/>
      <c r="C1253" s="57"/>
      <c r="D1253" s="57"/>
      <c r="E1253" s="57"/>
      <c r="F1253" s="57"/>
      <c r="G1253" s="57"/>
      <c r="H1253" s="57"/>
      <c r="I1253" s="57"/>
      <c r="J1253" s="57"/>
      <c r="L1253" s="57"/>
      <c r="M1253" s="57"/>
      <c r="N1253" s="57"/>
      <c r="O1253" s="57"/>
      <c r="P1253" s="57"/>
      <c r="Q1253" s="57"/>
      <c r="R1253" s="57"/>
      <c r="S1253" s="57"/>
      <c r="T1253" s="57"/>
      <c r="U1253" s="57"/>
      <c r="V1253" s="57"/>
      <c r="W1253" s="57"/>
      <c r="X1253" s="57"/>
      <c r="Y1253" s="98"/>
      <c r="AA1253" s="98"/>
      <c r="AR1253" s="98"/>
      <c r="AS1253" s="57"/>
      <c r="AU1253" s="57"/>
      <c r="BF1253" s="98"/>
      <c r="BG1253" s="98"/>
      <c r="BH1253" s="98"/>
      <c r="BI1253" s="98"/>
      <c r="BJ1253" s="98"/>
      <c r="BK1253" s="98"/>
      <c r="BL1253" s="98"/>
      <c r="BM1253" s="57"/>
    </row>
    <row r="1254" spans="1:65" ht="11.25" x14ac:dyDescent="0.2">
      <c r="A1254" s="57"/>
      <c r="B1254" s="57"/>
      <c r="C1254" s="57"/>
      <c r="D1254" s="57"/>
      <c r="E1254" s="57"/>
      <c r="F1254" s="57"/>
      <c r="G1254" s="57"/>
      <c r="H1254" s="57"/>
      <c r="I1254" s="57"/>
      <c r="J1254" s="57"/>
      <c r="L1254" s="57"/>
      <c r="M1254" s="57"/>
      <c r="N1254" s="57"/>
      <c r="O1254" s="57"/>
      <c r="P1254" s="57"/>
      <c r="Q1254" s="57"/>
      <c r="R1254" s="57"/>
      <c r="S1254" s="57"/>
      <c r="T1254" s="57"/>
      <c r="U1254" s="57"/>
      <c r="V1254" s="57"/>
      <c r="W1254" s="57"/>
      <c r="X1254" s="57"/>
      <c r="Y1254" s="98"/>
      <c r="AA1254" s="98"/>
      <c r="AR1254" s="98"/>
      <c r="AS1254" s="57"/>
      <c r="AU1254" s="57"/>
      <c r="BF1254" s="98"/>
      <c r="BG1254" s="98"/>
      <c r="BH1254" s="98"/>
      <c r="BI1254" s="98"/>
      <c r="BJ1254" s="98"/>
      <c r="BK1254" s="98"/>
      <c r="BL1254" s="98"/>
      <c r="BM1254" s="57"/>
    </row>
    <row r="1255" spans="1:65" ht="11.25" x14ac:dyDescent="0.2">
      <c r="A1255" s="57"/>
      <c r="B1255" s="57"/>
      <c r="C1255" s="57"/>
      <c r="D1255" s="57"/>
      <c r="E1255" s="57"/>
      <c r="F1255" s="57"/>
      <c r="G1255" s="57"/>
      <c r="H1255" s="57"/>
      <c r="I1255" s="57"/>
      <c r="J1255" s="57"/>
      <c r="L1255" s="57"/>
      <c r="M1255" s="57"/>
      <c r="N1255" s="57"/>
      <c r="O1255" s="57"/>
      <c r="P1255" s="57"/>
      <c r="Q1255" s="57"/>
      <c r="R1255" s="57"/>
      <c r="S1255" s="57"/>
      <c r="T1255" s="57"/>
      <c r="U1255" s="57"/>
      <c r="V1255" s="57"/>
      <c r="W1255" s="57"/>
      <c r="X1255" s="57"/>
      <c r="Y1255" s="98"/>
      <c r="AA1255" s="98"/>
      <c r="AR1255" s="98"/>
      <c r="AS1255" s="57"/>
      <c r="AU1255" s="57"/>
      <c r="BF1255" s="98"/>
      <c r="BG1255" s="98"/>
      <c r="BH1255" s="98"/>
      <c r="BI1255" s="98"/>
      <c r="BJ1255" s="98"/>
      <c r="BK1255" s="98"/>
      <c r="BL1255" s="98"/>
      <c r="BM1255" s="57"/>
    </row>
    <row r="1256" spans="1:65" ht="11.25" x14ac:dyDescent="0.2">
      <c r="A1256" s="57"/>
      <c r="B1256" s="57"/>
      <c r="C1256" s="57"/>
      <c r="D1256" s="57"/>
      <c r="E1256" s="57"/>
      <c r="F1256" s="57"/>
      <c r="G1256" s="57"/>
      <c r="H1256" s="57"/>
      <c r="I1256" s="57"/>
      <c r="J1256" s="57"/>
      <c r="L1256" s="57"/>
      <c r="M1256" s="57"/>
      <c r="N1256" s="57"/>
      <c r="O1256" s="57"/>
      <c r="P1256" s="57"/>
      <c r="Q1256" s="57"/>
      <c r="R1256" s="57"/>
      <c r="S1256" s="57"/>
      <c r="T1256" s="57"/>
      <c r="U1256" s="57"/>
      <c r="V1256" s="57"/>
      <c r="W1256" s="57"/>
      <c r="X1256" s="57"/>
      <c r="Y1256" s="98"/>
      <c r="AA1256" s="98"/>
      <c r="AR1256" s="98"/>
      <c r="AS1256" s="57"/>
      <c r="AU1256" s="57"/>
      <c r="BF1256" s="98"/>
      <c r="BG1256" s="98"/>
      <c r="BH1256" s="98"/>
      <c r="BI1256" s="98"/>
      <c r="BJ1256" s="98"/>
      <c r="BK1256" s="98"/>
      <c r="BL1256" s="98"/>
      <c r="BM1256" s="57"/>
    </row>
    <row r="1257" spans="1:65" ht="11.25" x14ac:dyDescent="0.2">
      <c r="A1257" s="57"/>
      <c r="B1257" s="57"/>
      <c r="C1257" s="57"/>
      <c r="D1257" s="57"/>
      <c r="E1257" s="57"/>
      <c r="F1257" s="57"/>
      <c r="G1257" s="57"/>
      <c r="H1257" s="57"/>
      <c r="I1257" s="57"/>
      <c r="J1257" s="57"/>
      <c r="L1257" s="57"/>
      <c r="M1257" s="57"/>
      <c r="N1257" s="57"/>
      <c r="O1257" s="57"/>
      <c r="P1257" s="57"/>
      <c r="Q1257" s="57"/>
      <c r="R1257" s="57"/>
      <c r="S1257" s="57"/>
      <c r="T1257" s="57"/>
      <c r="U1257" s="57"/>
      <c r="V1257" s="57"/>
      <c r="W1257" s="57"/>
      <c r="X1257" s="57"/>
      <c r="Y1257" s="98"/>
      <c r="AA1257" s="98"/>
      <c r="AR1257" s="98"/>
      <c r="AS1257" s="57"/>
      <c r="AU1257" s="57"/>
      <c r="BF1257" s="98"/>
      <c r="BG1257" s="98"/>
      <c r="BH1257" s="98"/>
      <c r="BI1257" s="98"/>
      <c r="BJ1257" s="98"/>
      <c r="BK1257" s="98"/>
      <c r="BL1257" s="98"/>
      <c r="BM1257" s="57"/>
    </row>
    <row r="1258" spans="1:65" ht="11.25" x14ac:dyDescent="0.2">
      <c r="A1258" s="57"/>
      <c r="B1258" s="57"/>
      <c r="C1258" s="57"/>
      <c r="D1258" s="57"/>
      <c r="E1258" s="57"/>
      <c r="F1258" s="57"/>
      <c r="G1258" s="57"/>
      <c r="H1258" s="57"/>
      <c r="I1258" s="57"/>
      <c r="J1258" s="57"/>
      <c r="L1258" s="57"/>
      <c r="M1258" s="57"/>
      <c r="N1258" s="57"/>
      <c r="O1258" s="57"/>
      <c r="P1258" s="57"/>
      <c r="Q1258" s="57"/>
      <c r="R1258" s="57"/>
      <c r="S1258" s="57"/>
      <c r="T1258" s="57"/>
      <c r="U1258" s="57"/>
      <c r="V1258" s="57"/>
      <c r="W1258" s="57"/>
      <c r="X1258" s="57"/>
      <c r="Y1258" s="98"/>
      <c r="AA1258" s="98"/>
      <c r="AR1258" s="98"/>
      <c r="AS1258" s="57"/>
      <c r="AU1258" s="57"/>
      <c r="BF1258" s="98"/>
      <c r="BG1258" s="98"/>
      <c r="BH1258" s="98"/>
      <c r="BI1258" s="98"/>
      <c r="BJ1258" s="98"/>
      <c r="BK1258" s="98"/>
      <c r="BL1258" s="98"/>
      <c r="BM1258" s="57"/>
    </row>
    <row r="1259" spans="1:65" ht="11.25" x14ac:dyDescent="0.2">
      <c r="A1259" s="57"/>
      <c r="B1259" s="57"/>
      <c r="C1259" s="57"/>
      <c r="D1259" s="57"/>
      <c r="E1259" s="57"/>
      <c r="F1259" s="57"/>
      <c r="G1259" s="57"/>
      <c r="H1259" s="57"/>
      <c r="I1259" s="57"/>
      <c r="J1259" s="57"/>
      <c r="L1259" s="57"/>
      <c r="M1259" s="57"/>
      <c r="N1259" s="57"/>
      <c r="O1259" s="57"/>
      <c r="P1259" s="57"/>
      <c r="Q1259" s="57"/>
      <c r="R1259" s="57"/>
      <c r="S1259" s="57"/>
      <c r="T1259" s="57"/>
      <c r="U1259" s="57"/>
      <c r="V1259" s="57"/>
      <c r="W1259" s="57"/>
      <c r="X1259" s="57"/>
      <c r="Y1259" s="98"/>
      <c r="AA1259" s="98"/>
      <c r="AR1259" s="98"/>
      <c r="AS1259" s="57"/>
      <c r="AU1259" s="57"/>
      <c r="BF1259" s="98"/>
      <c r="BG1259" s="98"/>
      <c r="BH1259" s="98"/>
      <c r="BI1259" s="98"/>
      <c r="BJ1259" s="98"/>
      <c r="BK1259" s="98"/>
      <c r="BL1259" s="98"/>
      <c r="BM1259" s="57"/>
    </row>
    <row r="1260" spans="1:65" ht="11.25" x14ac:dyDescent="0.2">
      <c r="A1260" s="57"/>
      <c r="B1260" s="57"/>
      <c r="C1260" s="57"/>
      <c r="D1260" s="57"/>
      <c r="E1260" s="57"/>
      <c r="F1260" s="57"/>
      <c r="G1260" s="57"/>
      <c r="H1260" s="57"/>
      <c r="I1260" s="57"/>
      <c r="J1260" s="57"/>
      <c r="L1260" s="57"/>
      <c r="M1260" s="57"/>
      <c r="N1260" s="57"/>
      <c r="O1260" s="57"/>
      <c r="P1260" s="57"/>
      <c r="Q1260" s="57"/>
      <c r="R1260" s="57"/>
      <c r="S1260" s="57"/>
      <c r="T1260" s="57"/>
      <c r="U1260" s="57"/>
      <c r="V1260" s="57"/>
      <c r="W1260" s="57"/>
      <c r="X1260" s="57"/>
      <c r="Y1260" s="98"/>
      <c r="AA1260" s="98"/>
      <c r="AR1260" s="98"/>
      <c r="AS1260" s="57"/>
      <c r="AU1260" s="57"/>
      <c r="BF1260" s="98"/>
      <c r="BG1260" s="98"/>
      <c r="BH1260" s="98"/>
      <c r="BI1260" s="98"/>
      <c r="BJ1260" s="98"/>
      <c r="BK1260" s="98"/>
      <c r="BL1260" s="98"/>
      <c r="BM1260" s="57"/>
    </row>
    <row r="1261" spans="1:65" ht="11.25" x14ac:dyDescent="0.2">
      <c r="A1261" s="57"/>
      <c r="B1261" s="57"/>
      <c r="C1261" s="57"/>
      <c r="D1261" s="57"/>
      <c r="E1261" s="57"/>
      <c r="F1261" s="57"/>
      <c r="G1261" s="57"/>
      <c r="H1261" s="57"/>
      <c r="I1261" s="57"/>
      <c r="J1261" s="57"/>
      <c r="L1261" s="57"/>
      <c r="M1261" s="57"/>
      <c r="N1261" s="57"/>
      <c r="O1261" s="57"/>
      <c r="P1261" s="57"/>
      <c r="Q1261" s="57"/>
      <c r="R1261" s="57"/>
      <c r="S1261" s="57"/>
      <c r="T1261" s="57"/>
      <c r="U1261" s="57"/>
      <c r="V1261" s="57"/>
      <c r="W1261" s="57"/>
      <c r="X1261" s="57"/>
      <c r="Y1261" s="98"/>
      <c r="AA1261" s="98"/>
      <c r="AR1261" s="98"/>
      <c r="AS1261" s="57"/>
      <c r="AU1261" s="57"/>
      <c r="BF1261" s="98"/>
      <c r="BG1261" s="98"/>
      <c r="BH1261" s="98"/>
      <c r="BI1261" s="98"/>
      <c r="BJ1261" s="98"/>
      <c r="BK1261" s="98"/>
      <c r="BL1261" s="98"/>
      <c r="BM1261" s="57"/>
    </row>
    <row r="1262" spans="1:65" ht="11.25" x14ac:dyDescent="0.2">
      <c r="A1262" s="57"/>
      <c r="B1262" s="57"/>
      <c r="C1262" s="57"/>
      <c r="D1262" s="57"/>
      <c r="E1262" s="57"/>
      <c r="F1262" s="57"/>
      <c r="G1262" s="57"/>
      <c r="H1262" s="57"/>
      <c r="I1262" s="57"/>
      <c r="J1262" s="57"/>
      <c r="L1262" s="57"/>
      <c r="M1262" s="57"/>
      <c r="N1262" s="57"/>
      <c r="O1262" s="57"/>
      <c r="P1262" s="57"/>
      <c r="Q1262" s="57"/>
      <c r="R1262" s="57"/>
      <c r="S1262" s="57"/>
      <c r="T1262" s="57"/>
      <c r="U1262" s="57"/>
      <c r="V1262" s="57"/>
      <c r="W1262" s="57"/>
      <c r="X1262" s="57"/>
      <c r="Y1262" s="98"/>
      <c r="AA1262" s="98"/>
      <c r="AR1262" s="98"/>
      <c r="AS1262" s="57"/>
      <c r="AU1262" s="57"/>
      <c r="BF1262" s="98"/>
      <c r="BG1262" s="98"/>
      <c r="BH1262" s="98"/>
      <c r="BI1262" s="98"/>
      <c r="BJ1262" s="98"/>
      <c r="BK1262" s="98"/>
      <c r="BL1262" s="98"/>
      <c r="BM1262" s="57"/>
    </row>
    <row r="1263" spans="1:65" ht="11.25" x14ac:dyDescent="0.2">
      <c r="A1263" s="57"/>
      <c r="B1263" s="57"/>
      <c r="C1263" s="57"/>
      <c r="D1263" s="57"/>
      <c r="E1263" s="57"/>
      <c r="F1263" s="57"/>
      <c r="G1263" s="57"/>
      <c r="H1263" s="57"/>
      <c r="I1263" s="57"/>
      <c r="J1263" s="57"/>
      <c r="L1263" s="57"/>
      <c r="M1263" s="57"/>
      <c r="N1263" s="57"/>
      <c r="O1263" s="57"/>
      <c r="P1263" s="57"/>
      <c r="Q1263" s="57"/>
      <c r="R1263" s="57"/>
      <c r="S1263" s="57"/>
      <c r="T1263" s="57"/>
      <c r="U1263" s="57"/>
      <c r="V1263" s="57"/>
      <c r="W1263" s="57"/>
      <c r="X1263" s="57"/>
      <c r="Y1263" s="98"/>
      <c r="AA1263" s="98"/>
      <c r="AR1263" s="98"/>
      <c r="AS1263" s="57"/>
      <c r="AU1263" s="57"/>
      <c r="BF1263" s="98"/>
      <c r="BG1263" s="98"/>
      <c r="BH1263" s="98"/>
      <c r="BI1263" s="98"/>
      <c r="BJ1263" s="98"/>
      <c r="BK1263" s="98"/>
      <c r="BL1263" s="98"/>
      <c r="BM1263" s="57"/>
    </row>
    <row r="1264" spans="1:65" ht="11.25" x14ac:dyDescent="0.2">
      <c r="A1264" s="57"/>
      <c r="B1264" s="57"/>
      <c r="C1264" s="57"/>
      <c r="D1264" s="57"/>
      <c r="E1264" s="57"/>
      <c r="F1264" s="57"/>
      <c r="G1264" s="57"/>
      <c r="H1264" s="57"/>
      <c r="I1264" s="57"/>
      <c r="J1264" s="57"/>
      <c r="L1264" s="57"/>
      <c r="M1264" s="57"/>
      <c r="N1264" s="57"/>
      <c r="O1264" s="57"/>
      <c r="P1264" s="57"/>
      <c r="Q1264" s="57"/>
      <c r="R1264" s="57"/>
      <c r="S1264" s="57"/>
      <c r="T1264" s="57"/>
      <c r="U1264" s="57"/>
      <c r="V1264" s="57"/>
      <c r="W1264" s="57"/>
      <c r="X1264" s="57"/>
      <c r="Y1264" s="98"/>
      <c r="AA1264" s="98"/>
      <c r="AR1264" s="98"/>
      <c r="AS1264" s="57"/>
      <c r="AU1264" s="57"/>
      <c r="BF1264" s="98"/>
      <c r="BG1264" s="98"/>
      <c r="BH1264" s="98"/>
      <c r="BI1264" s="98"/>
      <c r="BJ1264" s="98"/>
      <c r="BK1264" s="98"/>
      <c r="BL1264" s="98"/>
      <c r="BM1264" s="57"/>
    </row>
    <row r="1265" spans="1:65" ht="11.25" x14ac:dyDescent="0.2">
      <c r="A1265" s="57"/>
      <c r="B1265" s="57"/>
      <c r="C1265" s="57"/>
      <c r="D1265" s="57"/>
      <c r="E1265" s="57"/>
      <c r="F1265" s="57"/>
      <c r="G1265" s="57"/>
      <c r="H1265" s="57"/>
      <c r="I1265" s="57"/>
      <c r="J1265" s="57"/>
      <c r="L1265" s="57"/>
      <c r="M1265" s="57"/>
      <c r="N1265" s="57"/>
      <c r="O1265" s="57"/>
      <c r="P1265" s="57"/>
      <c r="Q1265" s="57"/>
      <c r="R1265" s="57"/>
      <c r="S1265" s="57"/>
      <c r="T1265" s="57"/>
      <c r="U1265" s="57"/>
      <c r="V1265" s="57"/>
      <c r="W1265" s="57"/>
      <c r="X1265" s="57"/>
      <c r="Y1265" s="98"/>
      <c r="AA1265" s="98"/>
      <c r="AR1265" s="98"/>
      <c r="AS1265" s="57"/>
      <c r="AU1265" s="57"/>
      <c r="BF1265" s="98"/>
      <c r="BG1265" s="98"/>
      <c r="BH1265" s="98"/>
      <c r="BI1265" s="98"/>
      <c r="BJ1265" s="98"/>
      <c r="BK1265" s="98"/>
      <c r="BL1265" s="98"/>
      <c r="BM1265" s="57"/>
    </row>
    <row r="1266" spans="1:65" ht="11.25" x14ac:dyDescent="0.2">
      <c r="A1266" s="57"/>
      <c r="B1266" s="57"/>
      <c r="C1266" s="57"/>
      <c r="D1266" s="57"/>
      <c r="E1266" s="57"/>
      <c r="F1266" s="57"/>
      <c r="G1266" s="57"/>
      <c r="H1266" s="57"/>
      <c r="I1266" s="57"/>
      <c r="J1266" s="57"/>
      <c r="L1266" s="57"/>
      <c r="M1266" s="57"/>
      <c r="N1266" s="57"/>
      <c r="O1266" s="57"/>
      <c r="P1266" s="57"/>
      <c r="Q1266" s="57"/>
      <c r="R1266" s="57"/>
      <c r="S1266" s="57"/>
      <c r="T1266" s="57"/>
      <c r="U1266" s="57"/>
      <c r="V1266" s="57"/>
      <c r="W1266" s="57"/>
      <c r="X1266" s="57"/>
      <c r="Y1266" s="98"/>
      <c r="AA1266" s="98"/>
      <c r="AR1266" s="98"/>
      <c r="AS1266" s="57"/>
      <c r="AU1266" s="57"/>
      <c r="BF1266" s="98"/>
      <c r="BG1266" s="98"/>
      <c r="BH1266" s="98"/>
      <c r="BI1266" s="98"/>
      <c r="BJ1266" s="98"/>
      <c r="BK1266" s="98"/>
      <c r="BL1266" s="98"/>
      <c r="BM1266" s="57"/>
    </row>
    <row r="1267" spans="1:65" ht="11.25" x14ac:dyDescent="0.2">
      <c r="A1267" s="57"/>
      <c r="B1267" s="57"/>
      <c r="C1267" s="57"/>
      <c r="D1267" s="57"/>
      <c r="E1267" s="57"/>
      <c r="F1267" s="57"/>
      <c r="G1267" s="57"/>
      <c r="H1267" s="57"/>
      <c r="I1267" s="57"/>
      <c r="J1267" s="57"/>
      <c r="L1267" s="57"/>
      <c r="M1267" s="57"/>
      <c r="N1267" s="57"/>
      <c r="O1267" s="57"/>
      <c r="P1267" s="57"/>
      <c r="Q1267" s="57"/>
      <c r="R1267" s="57"/>
      <c r="S1267" s="57"/>
      <c r="T1267" s="57"/>
      <c r="U1267" s="57"/>
      <c r="V1267" s="57"/>
      <c r="W1267" s="57"/>
      <c r="X1267" s="57"/>
      <c r="Y1267" s="98"/>
      <c r="AA1267" s="98"/>
      <c r="AR1267" s="98"/>
      <c r="AS1267" s="57"/>
      <c r="AU1267" s="57"/>
      <c r="BF1267" s="98"/>
      <c r="BG1267" s="98"/>
      <c r="BH1267" s="98"/>
      <c r="BI1267" s="98"/>
      <c r="BJ1267" s="98"/>
      <c r="BK1267" s="98"/>
      <c r="BL1267" s="98"/>
      <c r="BM1267" s="57"/>
    </row>
    <row r="1268" spans="1:65" ht="11.25" x14ac:dyDescent="0.2">
      <c r="A1268" s="57"/>
      <c r="B1268" s="57"/>
      <c r="C1268" s="57"/>
      <c r="D1268" s="57"/>
      <c r="E1268" s="57"/>
      <c r="F1268" s="57"/>
      <c r="G1268" s="57"/>
      <c r="H1268" s="57"/>
      <c r="I1268" s="57"/>
      <c r="J1268" s="57"/>
      <c r="L1268" s="57"/>
      <c r="M1268" s="57"/>
      <c r="N1268" s="57"/>
      <c r="O1268" s="57"/>
      <c r="P1268" s="57"/>
      <c r="Q1268" s="57"/>
      <c r="R1268" s="57"/>
      <c r="S1268" s="57"/>
      <c r="T1268" s="57"/>
      <c r="U1268" s="57"/>
      <c r="V1268" s="57"/>
      <c r="W1268" s="57"/>
      <c r="X1268" s="57"/>
      <c r="Y1268" s="98"/>
      <c r="AA1268" s="98"/>
      <c r="AR1268" s="98"/>
      <c r="AS1268" s="57"/>
      <c r="AU1268" s="57"/>
      <c r="BF1268" s="98"/>
      <c r="BG1268" s="98"/>
      <c r="BH1268" s="98"/>
      <c r="BI1268" s="98"/>
      <c r="BJ1268" s="98"/>
      <c r="BK1268" s="98"/>
      <c r="BL1268" s="98"/>
      <c r="BM1268" s="57"/>
    </row>
    <row r="1269" spans="1:65" ht="11.25" x14ac:dyDescent="0.2">
      <c r="A1269" s="57"/>
      <c r="B1269" s="57"/>
      <c r="C1269" s="57"/>
      <c r="D1269" s="57"/>
      <c r="E1269" s="57"/>
      <c r="F1269" s="57"/>
      <c r="G1269" s="57"/>
      <c r="H1269" s="57"/>
      <c r="I1269" s="57"/>
      <c r="J1269" s="57"/>
      <c r="L1269" s="57"/>
      <c r="M1269" s="57"/>
      <c r="N1269" s="57"/>
      <c r="O1269" s="57"/>
      <c r="P1269" s="57"/>
      <c r="Q1269" s="57"/>
      <c r="R1269" s="57"/>
      <c r="S1269" s="57"/>
      <c r="T1269" s="57"/>
      <c r="U1269" s="57"/>
      <c r="V1269" s="57"/>
      <c r="W1269" s="57"/>
      <c r="X1269" s="57"/>
      <c r="Y1269" s="98"/>
      <c r="AA1269" s="98"/>
      <c r="AR1269" s="98"/>
      <c r="AS1269" s="57"/>
      <c r="AU1269" s="57"/>
      <c r="BF1269" s="98"/>
      <c r="BG1269" s="98"/>
      <c r="BH1269" s="98"/>
      <c r="BI1269" s="98"/>
      <c r="BJ1269" s="98"/>
      <c r="BK1269" s="98"/>
      <c r="BL1269" s="98"/>
      <c r="BM1269" s="57"/>
    </row>
    <row r="1270" spans="1:65" ht="11.25" x14ac:dyDescent="0.2">
      <c r="A1270" s="57"/>
      <c r="B1270" s="57"/>
      <c r="C1270" s="57"/>
      <c r="D1270" s="57"/>
      <c r="E1270" s="57"/>
      <c r="F1270" s="57"/>
      <c r="G1270" s="57"/>
      <c r="H1270" s="57"/>
      <c r="I1270" s="57"/>
      <c r="J1270" s="57"/>
      <c r="L1270" s="57"/>
      <c r="M1270" s="57"/>
      <c r="N1270" s="57"/>
      <c r="O1270" s="57"/>
      <c r="P1270" s="57"/>
      <c r="Q1270" s="57"/>
      <c r="R1270" s="57"/>
      <c r="S1270" s="57"/>
      <c r="T1270" s="57"/>
      <c r="U1270" s="57"/>
      <c r="V1270" s="57"/>
      <c r="W1270" s="57"/>
      <c r="X1270" s="57"/>
      <c r="Y1270" s="98"/>
      <c r="AA1270" s="98"/>
      <c r="AR1270" s="98"/>
      <c r="AS1270" s="57"/>
      <c r="AU1270" s="57"/>
      <c r="BF1270" s="98"/>
      <c r="BG1270" s="98"/>
      <c r="BH1270" s="98"/>
      <c r="BI1270" s="98"/>
      <c r="BJ1270" s="98"/>
      <c r="BK1270" s="98"/>
      <c r="BL1270" s="98"/>
      <c r="BM1270" s="57"/>
    </row>
    <row r="1271" spans="1:65" ht="11.25" x14ac:dyDescent="0.2">
      <c r="A1271" s="57"/>
      <c r="B1271" s="57"/>
      <c r="C1271" s="57"/>
      <c r="D1271" s="57"/>
      <c r="E1271" s="57"/>
      <c r="F1271" s="57"/>
      <c r="G1271" s="57"/>
      <c r="H1271" s="57"/>
      <c r="I1271" s="57"/>
      <c r="J1271" s="57"/>
      <c r="L1271" s="57"/>
      <c r="M1271" s="57"/>
      <c r="N1271" s="57"/>
      <c r="O1271" s="57"/>
      <c r="P1271" s="57"/>
      <c r="Q1271" s="57"/>
      <c r="R1271" s="57"/>
      <c r="S1271" s="57"/>
      <c r="T1271" s="57"/>
      <c r="U1271" s="57"/>
      <c r="V1271" s="57"/>
      <c r="W1271" s="57"/>
      <c r="X1271" s="57"/>
      <c r="Y1271" s="98"/>
      <c r="AA1271" s="98"/>
      <c r="AR1271" s="98"/>
      <c r="AS1271" s="57"/>
      <c r="AU1271" s="57"/>
      <c r="BF1271" s="98"/>
      <c r="BG1271" s="98"/>
      <c r="BH1271" s="98"/>
      <c r="BI1271" s="98"/>
      <c r="BJ1271" s="98"/>
      <c r="BK1271" s="98"/>
      <c r="BL1271" s="98"/>
      <c r="BM1271" s="57"/>
    </row>
    <row r="1272" spans="1:65" ht="11.25" x14ac:dyDescent="0.2">
      <c r="A1272" s="57"/>
      <c r="B1272" s="57"/>
      <c r="C1272" s="57"/>
      <c r="D1272" s="57"/>
      <c r="E1272" s="57"/>
      <c r="F1272" s="57"/>
      <c r="G1272" s="57"/>
      <c r="H1272" s="57"/>
      <c r="I1272" s="57"/>
      <c r="J1272" s="57"/>
      <c r="L1272" s="57"/>
      <c r="M1272" s="57"/>
      <c r="N1272" s="57"/>
      <c r="O1272" s="57"/>
      <c r="P1272" s="57"/>
      <c r="Q1272" s="57"/>
      <c r="R1272" s="57"/>
      <c r="S1272" s="57"/>
      <c r="T1272" s="57"/>
      <c r="U1272" s="57"/>
      <c r="V1272" s="57"/>
      <c r="W1272" s="57"/>
      <c r="X1272" s="57"/>
      <c r="Y1272" s="98"/>
      <c r="AA1272" s="98"/>
      <c r="AR1272" s="98"/>
      <c r="AS1272" s="57"/>
      <c r="AU1272" s="57"/>
      <c r="BF1272" s="98"/>
      <c r="BG1272" s="98"/>
      <c r="BH1272" s="98"/>
      <c r="BI1272" s="98"/>
      <c r="BJ1272" s="98"/>
      <c r="BK1272" s="98"/>
      <c r="BL1272" s="98"/>
      <c r="BM1272" s="57"/>
    </row>
    <row r="1273" spans="1:65" ht="11.25" x14ac:dyDescent="0.2">
      <c r="A1273" s="57"/>
      <c r="B1273" s="57"/>
      <c r="C1273" s="57"/>
      <c r="D1273" s="57"/>
      <c r="E1273" s="57"/>
      <c r="F1273" s="57"/>
      <c r="G1273" s="57"/>
      <c r="H1273" s="57"/>
      <c r="I1273" s="57"/>
      <c r="J1273" s="57"/>
      <c r="L1273" s="57"/>
      <c r="M1273" s="57"/>
      <c r="N1273" s="57"/>
      <c r="O1273" s="57"/>
      <c r="P1273" s="57"/>
      <c r="Q1273" s="57"/>
      <c r="R1273" s="57"/>
      <c r="S1273" s="57"/>
      <c r="T1273" s="57"/>
      <c r="U1273" s="57"/>
      <c r="V1273" s="57"/>
      <c r="W1273" s="57"/>
      <c r="X1273" s="57"/>
      <c r="Y1273" s="98"/>
      <c r="AA1273" s="98"/>
      <c r="AR1273" s="98"/>
      <c r="AS1273" s="57"/>
      <c r="AU1273" s="57"/>
      <c r="BF1273" s="98"/>
      <c r="BG1273" s="98"/>
      <c r="BH1273" s="98"/>
      <c r="BI1273" s="98"/>
      <c r="BJ1273" s="98"/>
      <c r="BK1273" s="98"/>
      <c r="BL1273" s="98"/>
      <c r="BM1273" s="57"/>
    </row>
    <row r="1274" spans="1:65" ht="11.25" x14ac:dyDescent="0.2">
      <c r="A1274" s="57"/>
      <c r="B1274" s="57"/>
      <c r="C1274" s="57"/>
      <c r="D1274" s="57"/>
      <c r="E1274" s="57"/>
      <c r="F1274" s="57"/>
      <c r="G1274" s="57"/>
      <c r="H1274" s="57"/>
      <c r="I1274" s="57"/>
      <c r="J1274" s="57"/>
      <c r="L1274" s="57"/>
      <c r="M1274" s="57"/>
      <c r="N1274" s="57"/>
      <c r="O1274" s="57"/>
      <c r="P1274" s="57"/>
      <c r="Q1274" s="57"/>
      <c r="R1274" s="57"/>
      <c r="S1274" s="57"/>
      <c r="T1274" s="57"/>
      <c r="U1274" s="57"/>
      <c r="V1274" s="57"/>
      <c r="W1274" s="57"/>
      <c r="X1274" s="57"/>
      <c r="Y1274" s="98"/>
      <c r="AA1274" s="98"/>
      <c r="AR1274" s="98"/>
      <c r="AS1274" s="57"/>
      <c r="AU1274" s="57"/>
      <c r="BF1274" s="98"/>
      <c r="BG1274" s="98"/>
      <c r="BH1274" s="98"/>
      <c r="BI1274" s="98"/>
      <c r="BJ1274" s="98"/>
      <c r="BK1274" s="98"/>
      <c r="BL1274" s="98"/>
      <c r="BM1274" s="57"/>
    </row>
    <row r="1275" spans="1:65" ht="11.25" x14ac:dyDescent="0.2">
      <c r="A1275" s="57"/>
      <c r="B1275" s="57"/>
      <c r="C1275" s="57"/>
      <c r="D1275" s="57"/>
      <c r="E1275" s="57"/>
      <c r="F1275" s="57"/>
      <c r="G1275" s="57"/>
      <c r="H1275" s="57"/>
      <c r="I1275" s="57"/>
      <c r="J1275" s="57"/>
      <c r="L1275" s="57"/>
      <c r="M1275" s="57"/>
      <c r="N1275" s="57"/>
      <c r="O1275" s="57"/>
      <c r="P1275" s="57"/>
      <c r="Q1275" s="57"/>
      <c r="R1275" s="57"/>
      <c r="S1275" s="57"/>
      <c r="T1275" s="57"/>
      <c r="U1275" s="57"/>
      <c r="V1275" s="57"/>
      <c r="W1275" s="57"/>
      <c r="X1275" s="57"/>
      <c r="Y1275" s="98"/>
      <c r="AA1275" s="98"/>
      <c r="AR1275" s="98"/>
      <c r="AS1275" s="57"/>
      <c r="AU1275" s="57"/>
      <c r="BF1275" s="98"/>
      <c r="BG1275" s="98"/>
      <c r="BH1275" s="98"/>
      <c r="BI1275" s="98"/>
      <c r="BJ1275" s="98"/>
      <c r="BK1275" s="98"/>
      <c r="BL1275" s="98"/>
      <c r="BM1275" s="57"/>
    </row>
    <row r="1276" spans="1:65" ht="11.25" x14ac:dyDescent="0.2">
      <c r="A1276" s="57"/>
      <c r="B1276" s="57"/>
      <c r="C1276" s="57"/>
      <c r="D1276" s="57"/>
      <c r="E1276" s="57"/>
      <c r="F1276" s="57"/>
      <c r="G1276" s="57"/>
      <c r="H1276" s="57"/>
      <c r="I1276" s="57"/>
      <c r="J1276" s="57"/>
      <c r="L1276" s="57"/>
      <c r="M1276" s="57"/>
      <c r="N1276" s="57"/>
      <c r="O1276" s="57"/>
      <c r="P1276" s="57"/>
      <c r="Q1276" s="57"/>
      <c r="R1276" s="57"/>
      <c r="S1276" s="57"/>
      <c r="T1276" s="57"/>
      <c r="U1276" s="57"/>
      <c r="V1276" s="57"/>
      <c r="W1276" s="57"/>
      <c r="X1276" s="57"/>
      <c r="Y1276" s="98"/>
      <c r="AA1276" s="98"/>
      <c r="AR1276" s="98"/>
      <c r="AS1276" s="57"/>
      <c r="AU1276" s="57"/>
      <c r="BF1276" s="98"/>
      <c r="BG1276" s="98"/>
      <c r="BH1276" s="98"/>
      <c r="BI1276" s="98"/>
      <c r="BJ1276" s="98"/>
      <c r="BK1276" s="98"/>
      <c r="BL1276" s="98"/>
      <c r="BM1276" s="57"/>
    </row>
    <row r="1277" spans="1:65" ht="11.25" x14ac:dyDescent="0.2">
      <c r="A1277" s="57"/>
      <c r="B1277" s="57"/>
      <c r="C1277" s="57"/>
      <c r="D1277" s="57"/>
      <c r="E1277" s="57"/>
      <c r="F1277" s="57"/>
      <c r="G1277" s="57"/>
      <c r="H1277" s="57"/>
      <c r="I1277" s="57"/>
      <c r="J1277" s="57"/>
      <c r="L1277" s="57"/>
      <c r="M1277" s="57"/>
      <c r="N1277" s="57"/>
      <c r="O1277" s="57"/>
      <c r="P1277" s="57"/>
      <c r="Q1277" s="57"/>
      <c r="R1277" s="57"/>
      <c r="S1277" s="57"/>
      <c r="T1277" s="57"/>
      <c r="U1277" s="57"/>
      <c r="V1277" s="57"/>
      <c r="W1277" s="57"/>
      <c r="X1277" s="57"/>
      <c r="Y1277" s="98"/>
      <c r="AA1277" s="98"/>
      <c r="AR1277" s="98"/>
      <c r="AS1277" s="57"/>
      <c r="AU1277" s="57"/>
      <c r="BF1277" s="98"/>
      <c r="BG1277" s="98"/>
      <c r="BH1277" s="98"/>
      <c r="BI1277" s="98"/>
      <c r="BJ1277" s="98"/>
      <c r="BK1277" s="98"/>
      <c r="BL1277" s="98"/>
      <c r="BM1277" s="57"/>
    </row>
    <row r="1278" spans="1:65" ht="11.25" x14ac:dyDescent="0.2">
      <c r="A1278" s="57"/>
      <c r="B1278" s="57"/>
      <c r="C1278" s="57"/>
      <c r="D1278" s="57"/>
      <c r="E1278" s="57"/>
      <c r="F1278" s="57"/>
      <c r="G1278" s="57"/>
      <c r="H1278" s="57"/>
      <c r="I1278" s="57"/>
      <c r="J1278" s="57"/>
      <c r="L1278" s="57"/>
      <c r="M1278" s="57"/>
      <c r="N1278" s="57"/>
      <c r="O1278" s="57"/>
      <c r="P1278" s="57"/>
      <c r="Q1278" s="57"/>
      <c r="R1278" s="57"/>
      <c r="S1278" s="57"/>
      <c r="T1278" s="57"/>
      <c r="U1278" s="57"/>
      <c r="V1278" s="57"/>
      <c r="W1278" s="57"/>
      <c r="X1278" s="57"/>
      <c r="Y1278" s="98"/>
      <c r="AA1278" s="98"/>
      <c r="AR1278" s="98"/>
      <c r="AS1278" s="57"/>
      <c r="AU1278" s="57"/>
      <c r="BF1278" s="98"/>
      <c r="BG1278" s="98"/>
      <c r="BH1278" s="98"/>
      <c r="BI1278" s="98"/>
      <c r="BJ1278" s="98"/>
      <c r="BK1278" s="98"/>
      <c r="BL1278" s="98"/>
      <c r="BM1278" s="57"/>
    </row>
    <row r="1279" spans="1:65" ht="11.25" x14ac:dyDescent="0.2">
      <c r="A1279" s="57"/>
      <c r="B1279" s="57"/>
      <c r="C1279" s="57"/>
      <c r="D1279" s="57"/>
      <c r="E1279" s="57"/>
      <c r="F1279" s="57"/>
      <c r="G1279" s="57"/>
      <c r="H1279" s="57"/>
      <c r="I1279" s="57"/>
      <c r="J1279" s="57"/>
      <c r="L1279" s="57"/>
      <c r="M1279" s="57"/>
      <c r="N1279" s="57"/>
      <c r="O1279" s="57"/>
      <c r="P1279" s="57"/>
      <c r="Q1279" s="57"/>
      <c r="R1279" s="57"/>
      <c r="S1279" s="57"/>
      <c r="T1279" s="57"/>
      <c r="U1279" s="57"/>
      <c r="V1279" s="57"/>
      <c r="W1279" s="57"/>
      <c r="X1279" s="57"/>
      <c r="Y1279" s="98"/>
      <c r="AA1279" s="98"/>
      <c r="AR1279" s="98"/>
      <c r="AS1279" s="57"/>
      <c r="AU1279" s="57"/>
      <c r="BF1279" s="98"/>
      <c r="BG1279" s="98"/>
      <c r="BH1279" s="98"/>
      <c r="BI1279" s="98"/>
      <c r="BJ1279" s="98"/>
      <c r="BK1279" s="98"/>
      <c r="BL1279" s="98"/>
      <c r="BM1279" s="57"/>
    </row>
    <row r="1280" spans="1:65" ht="11.25" x14ac:dyDescent="0.2">
      <c r="A1280" s="57"/>
      <c r="B1280" s="57"/>
      <c r="C1280" s="57"/>
      <c r="D1280" s="57"/>
      <c r="E1280" s="57"/>
      <c r="F1280" s="57"/>
      <c r="G1280" s="57"/>
      <c r="H1280" s="57"/>
      <c r="I1280" s="57"/>
      <c r="J1280" s="57"/>
      <c r="L1280" s="57"/>
      <c r="M1280" s="57"/>
      <c r="N1280" s="57"/>
      <c r="O1280" s="57"/>
      <c r="P1280" s="57"/>
      <c r="Q1280" s="57"/>
      <c r="R1280" s="57"/>
      <c r="S1280" s="57"/>
      <c r="T1280" s="57"/>
      <c r="U1280" s="57"/>
      <c r="V1280" s="57"/>
      <c r="W1280" s="57"/>
      <c r="X1280" s="57"/>
      <c r="Y1280" s="98"/>
      <c r="AA1280" s="98"/>
      <c r="AR1280" s="98"/>
      <c r="AS1280" s="57"/>
      <c r="AU1280" s="57"/>
      <c r="BF1280" s="98"/>
      <c r="BG1280" s="98"/>
      <c r="BH1280" s="98"/>
      <c r="BI1280" s="98"/>
      <c r="BJ1280" s="98"/>
      <c r="BK1280" s="98"/>
      <c r="BL1280" s="98"/>
      <c r="BM1280" s="57"/>
    </row>
    <row r="1281" spans="1:65" ht="11.25" x14ac:dyDescent="0.2">
      <c r="A1281" s="57"/>
      <c r="B1281" s="57"/>
      <c r="C1281" s="57"/>
      <c r="D1281" s="57"/>
      <c r="E1281" s="57"/>
      <c r="F1281" s="57"/>
      <c r="G1281" s="57"/>
      <c r="H1281" s="57"/>
      <c r="I1281" s="57"/>
      <c r="J1281" s="57"/>
      <c r="L1281" s="57"/>
      <c r="M1281" s="57"/>
      <c r="N1281" s="57"/>
      <c r="O1281" s="57"/>
      <c r="P1281" s="57"/>
      <c r="Q1281" s="57"/>
      <c r="R1281" s="57"/>
      <c r="S1281" s="57"/>
      <c r="T1281" s="57"/>
      <c r="U1281" s="57"/>
      <c r="V1281" s="57"/>
      <c r="W1281" s="57"/>
      <c r="X1281" s="57"/>
      <c r="Y1281" s="98"/>
      <c r="AA1281" s="98"/>
      <c r="AR1281" s="98"/>
      <c r="AS1281" s="57"/>
      <c r="AU1281" s="57"/>
      <c r="BF1281" s="98"/>
      <c r="BG1281" s="98"/>
      <c r="BH1281" s="98"/>
      <c r="BI1281" s="98"/>
      <c r="BJ1281" s="98"/>
      <c r="BK1281" s="98"/>
      <c r="BL1281" s="98"/>
      <c r="BM1281" s="57"/>
    </row>
    <row r="1282" spans="1:65" ht="11.25" x14ac:dyDescent="0.2">
      <c r="A1282" s="57"/>
      <c r="B1282" s="57"/>
      <c r="C1282" s="57"/>
      <c r="D1282" s="57"/>
      <c r="E1282" s="57"/>
      <c r="F1282" s="57"/>
      <c r="G1282" s="57"/>
      <c r="H1282" s="57"/>
      <c r="I1282" s="57"/>
      <c r="J1282" s="57"/>
      <c r="L1282" s="57"/>
      <c r="M1282" s="57"/>
      <c r="N1282" s="57"/>
      <c r="O1282" s="57"/>
      <c r="P1282" s="57"/>
      <c r="Q1282" s="57"/>
      <c r="R1282" s="57"/>
      <c r="S1282" s="57"/>
      <c r="T1282" s="57"/>
      <c r="U1282" s="57"/>
      <c r="V1282" s="57"/>
      <c r="W1282" s="57"/>
      <c r="X1282" s="57"/>
      <c r="Y1282" s="98"/>
      <c r="AA1282" s="98"/>
      <c r="AR1282" s="98"/>
      <c r="AS1282" s="57"/>
      <c r="AU1282" s="57"/>
      <c r="BF1282" s="98"/>
      <c r="BG1282" s="98"/>
      <c r="BH1282" s="98"/>
      <c r="BI1282" s="98"/>
      <c r="BJ1282" s="98"/>
      <c r="BK1282" s="98"/>
      <c r="BL1282" s="98"/>
      <c r="BM1282" s="57"/>
    </row>
    <row r="1283" spans="1:65" ht="11.25" x14ac:dyDescent="0.2">
      <c r="A1283" s="57"/>
      <c r="B1283" s="57"/>
      <c r="C1283" s="57"/>
      <c r="D1283" s="57"/>
      <c r="E1283" s="57"/>
      <c r="F1283" s="57"/>
      <c r="G1283" s="57"/>
      <c r="H1283" s="57"/>
      <c r="I1283" s="57"/>
      <c r="J1283" s="57"/>
      <c r="L1283" s="57"/>
      <c r="M1283" s="57"/>
      <c r="N1283" s="57"/>
      <c r="O1283" s="57"/>
      <c r="P1283" s="57"/>
      <c r="Q1283" s="57"/>
      <c r="R1283" s="57"/>
      <c r="S1283" s="57"/>
      <c r="T1283" s="57"/>
      <c r="U1283" s="57"/>
      <c r="V1283" s="57"/>
      <c r="W1283" s="57"/>
      <c r="X1283" s="57"/>
      <c r="Y1283" s="98"/>
      <c r="AA1283" s="98"/>
      <c r="AR1283" s="98"/>
      <c r="AS1283" s="57"/>
      <c r="AU1283" s="57"/>
      <c r="BF1283" s="98"/>
      <c r="BG1283" s="98"/>
      <c r="BH1283" s="98"/>
      <c r="BI1283" s="98"/>
      <c r="BJ1283" s="98"/>
      <c r="BK1283" s="98"/>
      <c r="BL1283" s="98"/>
      <c r="BM1283" s="57"/>
    </row>
    <row r="1284" spans="1:65" ht="11.25" x14ac:dyDescent="0.2">
      <c r="A1284" s="57"/>
      <c r="B1284" s="57"/>
      <c r="C1284" s="57"/>
      <c r="D1284" s="57"/>
      <c r="E1284" s="57"/>
      <c r="F1284" s="57"/>
      <c r="G1284" s="57"/>
      <c r="H1284" s="57"/>
      <c r="I1284" s="57"/>
      <c r="J1284" s="57"/>
      <c r="L1284" s="57"/>
      <c r="M1284" s="57"/>
      <c r="N1284" s="57"/>
      <c r="O1284" s="57"/>
      <c r="P1284" s="57"/>
      <c r="Q1284" s="57"/>
      <c r="R1284" s="57"/>
      <c r="S1284" s="57"/>
      <c r="T1284" s="57"/>
      <c r="U1284" s="57"/>
      <c r="V1284" s="57"/>
      <c r="W1284" s="57"/>
      <c r="X1284" s="57"/>
      <c r="Y1284" s="98"/>
      <c r="AA1284" s="98"/>
      <c r="AR1284" s="98"/>
      <c r="AS1284" s="57"/>
      <c r="AU1284" s="57"/>
      <c r="BF1284" s="98"/>
      <c r="BG1284" s="98"/>
      <c r="BH1284" s="98"/>
      <c r="BI1284" s="98"/>
      <c r="BJ1284" s="98"/>
      <c r="BK1284" s="98"/>
      <c r="BL1284" s="98"/>
      <c r="BM1284" s="57"/>
    </row>
    <row r="1285" spans="1:65" ht="11.25" x14ac:dyDescent="0.2">
      <c r="A1285" s="57"/>
      <c r="B1285" s="57"/>
      <c r="C1285" s="57"/>
      <c r="D1285" s="57"/>
      <c r="E1285" s="57"/>
      <c r="F1285" s="57"/>
      <c r="G1285" s="57"/>
      <c r="H1285" s="57"/>
      <c r="I1285" s="57"/>
      <c r="J1285" s="57"/>
      <c r="L1285" s="57"/>
      <c r="M1285" s="57"/>
      <c r="N1285" s="57"/>
      <c r="O1285" s="57"/>
      <c r="P1285" s="57"/>
      <c r="Q1285" s="57"/>
      <c r="R1285" s="57"/>
      <c r="S1285" s="57"/>
      <c r="T1285" s="57"/>
      <c r="U1285" s="57"/>
      <c r="V1285" s="57"/>
      <c r="W1285" s="57"/>
      <c r="X1285" s="57"/>
      <c r="Y1285" s="98"/>
      <c r="AA1285" s="98"/>
      <c r="AR1285" s="98"/>
      <c r="AS1285" s="57"/>
      <c r="AU1285" s="57"/>
      <c r="BF1285" s="98"/>
      <c r="BG1285" s="98"/>
      <c r="BH1285" s="98"/>
      <c r="BI1285" s="98"/>
      <c r="BJ1285" s="98"/>
      <c r="BK1285" s="98"/>
      <c r="BL1285" s="98"/>
      <c r="BM1285" s="57"/>
    </row>
    <row r="1286" spans="1:65" ht="11.25" x14ac:dyDescent="0.2">
      <c r="A1286" s="57"/>
      <c r="B1286" s="57"/>
      <c r="C1286" s="57"/>
      <c r="D1286" s="57"/>
      <c r="E1286" s="57"/>
      <c r="F1286" s="57"/>
      <c r="G1286" s="57"/>
      <c r="H1286" s="57"/>
      <c r="I1286" s="57"/>
      <c r="J1286" s="57"/>
      <c r="L1286" s="57"/>
      <c r="M1286" s="57"/>
      <c r="N1286" s="57"/>
      <c r="O1286" s="57"/>
      <c r="P1286" s="57"/>
      <c r="Q1286" s="57"/>
      <c r="R1286" s="57"/>
      <c r="S1286" s="57"/>
      <c r="T1286" s="57"/>
      <c r="U1286" s="57"/>
      <c r="V1286" s="57"/>
      <c r="W1286" s="57"/>
      <c r="X1286" s="57"/>
      <c r="Y1286" s="98"/>
      <c r="AA1286" s="98"/>
      <c r="AR1286" s="98"/>
      <c r="AS1286" s="57"/>
      <c r="AU1286" s="57"/>
      <c r="BF1286" s="98"/>
      <c r="BG1286" s="98"/>
      <c r="BH1286" s="98"/>
      <c r="BI1286" s="98"/>
      <c r="BJ1286" s="98"/>
      <c r="BK1286" s="98"/>
      <c r="BL1286" s="98"/>
      <c r="BM1286" s="57"/>
    </row>
    <row r="1287" spans="1:65" ht="11.25" x14ac:dyDescent="0.2">
      <c r="A1287" s="57"/>
      <c r="B1287" s="57"/>
      <c r="C1287" s="57"/>
      <c r="D1287" s="57"/>
      <c r="E1287" s="57"/>
      <c r="F1287" s="57"/>
      <c r="G1287" s="57"/>
      <c r="H1287" s="57"/>
      <c r="I1287" s="57"/>
      <c r="J1287" s="57"/>
      <c r="L1287" s="57"/>
      <c r="M1287" s="57"/>
      <c r="N1287" s="57"/>
      <c r="O1287" s="57"/>
      <c r="P1287" s="57"/>
      <c r="Q1287" s="57"/>
      <c r="R1287" s="57"/>
      <c r="S1287" s="57"/>
      <c r="T1287" s="57"/>
      <c r="U1287" s="57"/>
      <c r="V1287" s="57"/>
      <c r="W1287" s="57"/>
      <c r="X1287" s="57"/>
      <c r="Y1287" s="98"/>
      <c r="AA1287" s="98"/>
      <c r="AR1287" s="98"/>
      <c r="AS1287" s="57"/>
      <c r="AU1287" s="57"/>
      <c r="BF1287" s="98"/>
      <c r="BG1287" s="98"/>
      <c r="BH1287" s="98"/>
      <c r="BI1287" s="98"/>
      <c r="BJ1287" s="98"/>
      <c r="BK1287" s="98"/>
      <c r="BL1287" s="98"/>
      <c r="BM1287" s="57"/>
    </row>
    <row r="1288" spans="1:65" ht="11.25" x14ac:dyDescent="0.2">
      <c r="A1288" s="57"/>
      <c r="B1288" s="57"/>
      <c r="C1288" s="57"/>
      <c r="D1288" s="57"/>
      <c r="E1288" s="57"/>
      <c r="F1288" s="57"/>
      <c r="G1288" s="57"/>
      <c r="H1288" s="57"/>
      <c r="I1288" s="57"/>
      <c r="J1288" s="57"/>
      <c r="L1288" s="57"/>
      <c r="M1288" s="57"/>
      <c r="N1288" s="57"/>
      <c r="O1288" s="57"/>
      <c r="P1288" s="57"/>
      <c r="Q1288" s="57"/>
      <c r="R1288" s="57"/>
      <c r="S1288" s="57"/>
      <c r="T1288" s="57"/>
      <c r="U1288" s="57"/>
      <c r="V1288" s="57"/>
      <c r="W1288" s="57"/>
      <c r="X1288" s="57"/>
      <c r="Y1288" s="98"/>
      <c r="AA1288" s="98"/>
      <c r="AR1288" s="98"/>
      <c r="AS1288" s="57"/>
      <c r="AU1288" s="57"/>
      <c r="BF1288" s="98"/>
      <c r="BG1288" s="98"/>
      <c r="BH1288" s="98"/>
      <c r="BI1288" s="98"/>
      <c r="BJ1288" s="98"/>
      <c r="BK1288" s="98"/>
      <c r="BL1288" s="98"/>
      <c r="BM1288" s="57"/>
    </row>
    <row r="1289" spans="1:65" ht="11.25" x14ac:dyDescent="0.2">
      <c r="A1289" s="57"/>
      <c r="B1289" s="57"/>
      <c r="C1289" s="57"/>
      <c r="D1289" s="57"/>
      <c r="E1289" s="57"/>
      <c r="F1289" s="57"/>
      <c r="G1289" s="57"/>
      <c r="H1289" s="57"/>
      <c r="I1289" s="57"/>
      <c r="J1289" s="57"/>
      <c r="L1289" s="57"/>
      <c r="M1289" s="57"/>
      <c r="N1289" s="57"/>
      <c r="O1289" s="57"/>
      <c r="P1289" s="57"/>
      <c r="Q1289" s="57"/>
      <c r="R1289" s="57"/>
      <c r="S1289" s="57"/>
      <c r="T1289" s="57"/>
      <c r="U1289" s="57"/>
      <c r="V1289" s="57"/>
      <c r="W1289" s="57"/>
      <c r="X1289" s="57"/>
      <c r="Y1289" s="98"/>
      <c r="AA1289" s="98"/>
      <c r="AR1289" s="98"/>
      <c r="AS1289" s="57"/>
      <c r="AU1289" s="57"/>
      <c r="BF1289" s="98"/>
      <c r="BG1289" s="98"/>
      <c r="BH1289" s="98"/>
      <c r="BI1289" s="98"/>
      <c r="BJ1289" s="98"/>
      <c r="BK1289" s="98"/>
      <c r="BL1289" s="98"/>
      <c r="BM1289" s="57"/>
    </row>
    <row r="1290" spans="1:65" ht="11.25" x14ac:dyDescent="0.2">
      <c r="A1290" s="57"/>
      <c r="B1290" s="57"/>
      <c r="C1290" s="57"/>
      <c r="D1290" s="57"/>
      <c r="E1290" s="57"/>
      <c r="F1290" s="57"/>
      <c r="G1290" s="57"/>
      <c r="H1290" s="57"/>
      <c r="I1290" s="57"/>
      <c r="J1290" s="57"/>
      <c r="L1290" s="57"/>
      <c r="M1290" s="57"/>
      <c r="N1290" s="57"/>
      <c r="O1290" s="57"/>
      <c r="P1290" s="57"/>
      <c r="Q1290" s="57"/>
      <c r="R1290" s="57"/>
      <c r="S1290" s="57"/>
      <c r="T1290" s="57"/>
      <c r="U1290" s="57"/>
      <c r="V1290" s="57"/>
      <c r="W1290" s="57"/>
      <c r="X1290" s="57"/>
      <c r="Y1290" s="98"/>
      <c r="AA1290" s="98"/>
      <c r="AR1290" s="98"/>
      <c r="AS1290" s="57"/>
      <c r="AU1290" s="57"/>
      <c r="BF1290" s="98"/>
      <c r="BG1290" s="98"/>
      <c r="BH1290" s="98"/>
      <c r="BI1290" s="98"/>
      <c r="BJ1290" s="98"/>
      <c r="BK1290" s="98"/>
      <c r="BL1290" s="98"/>
      <c r="BM1290" s="57"/>
    </row>
    <row r="1291" spans="1:65" ht="11.25" x14ac:dyDescent="0.2">
      <c r="A1291" s="57"/>
      <c r="B1291" s="57"/>
      <c r="C1291" s="57"/>
      <c r="D1291" s="57"/>
      <c r="E1291" s="57"/>
      <c r="F1291" s="57"/>
      <c r="G1291" s="57"/>
      <c r="H1291" s="57"/>
      <c r="I1291" s="57"/>
      <c r="J1291" s="57"/>
      <c r="L1291" s="57"/>
      <c r="M1291" s="57"/>
      <c r="N1291" s="57"/>
      <c r="O1291" s="57"/>
      <c r="P1291" s="57"/>
      <c r="Q1291" s="57"/>
      <c r="R1291" s="57"/>
      <c r="S1291" s="57"/>
      <c r="T1291" s="57"/>
      <c r="U1291" s="57"/>
      <c r="V1291" s="57"/>
      <c r="W1291" s="57"/>
      <c r="X1291" s="57"/>
      <c r="Y1291" s="98"/>
      <c r="AA1291" s="98"/>
      <c r="AR1291" s="98"/>
      <c r="AS1291" s="57"/>
      <c r="AU1291" s="57"/>
      <c r="BF1291" s="98"/>
      <c r="BG1291" s="98"/>
      <c r="BH1291" s="98"/>
      <c r="BI1291" s="98"/>
      <c r="BJ1291" s="98"/>
      <c r="BK1291" s="98"/>
      <c r="BL1291" s="98"/>
      <c r="BM1291" s="57"/>
    </row>
    <row r="1292" spans="1:65" ht="11.25" x14ac:dyDescent="0.2">
      <c r="A1292" s="57"/>
      <c r="B1292" s="57"/>
      <c r="C1292" s="57"/>
      <c r="D1292" s="57"/>
      <c r="E1292" s="57"/>
      <c r="F1292" s="57"/>
      <c r="G1292" s="57"/>
      <c r="H1292" s="57"/>
      <c r="I1292" s="57"/>
      <c r="J1292" s="57"/>
      <c r="L1292" s="57"/>
      <c r="M1292" s="57"/>
      <c r="N1292" s="57"/>
      <c r="O1292" s="57"/>
      <c r="P1292" s="57"/>
      <c r="Q1292" s="57"/>
      <c r="R1292" s="57"/>
      <c r="S1292" s="57"/>
      <c r="T1292" s="57"/>
      <c r="U1292" s="57"/>
      <c r="V1292" s="57"/>
      <c r="W1292" s="57"/>
      <c r="X1292" s="57"/>
      <c r="Y1292" s="98"/>
      <c r="AA1292" s="98"/>
      <c r="AR1292" s="98"/>
      <c r="AS1292" s="57"/>
      <c r="AU1292" s="57"/>
      <c r="BF1292" s="98"/>
      <c r="BG1292" s="98"/>
      <c r="BH1292" s="98"/>
      <c r="BI1292" s="98"/>
      <c r="BJ1292" s="98"/>
      <c r="BK1292" s="98"/>
      <c r="BL1292" s="98"/>
      <c r="BM1292" s="57"/>
    </row>
    <row r="1293" spans="1:65" ht="11.25" x14ac:dyDescent="0.2">
      <c r="A1293" s="57"/>
      <c r="B1293" s="57"/>
      <c r="C1293" s="57"/>
      <c r="D1293" s="57"/>
      <c r="E1293" s="57"/>
      <c r="F1293" s="57"/>
      <c r="G1293" s="57"/>
      <c r="H1293" s="57"/>
      <c r="I1293" s="57"/>
      <c r="J1293" s="57"/>
      <c r="L1293" s="57"/>
      <c r="M1293" s="57"/>
      <c r="N1293" s="57"/>
      <c r="O1293" s="57"/>
      <c r="P1293" s="57"/>
      <c r="Q1293" s="57"/>
      <c r="R1293" s="57"/>
      <c r="S1293" s="57"/>
      <c r="T1293" s="57"/>
      <c r="U1293" s="57"/>
      <c r="V1293" s="57"/>
      <c r="W1293" s="57"/>
      <c r="X1293" s="57"/>
      <c r="Y1293" s="98"/>
      <c r="AA1293" s="98"/>
      <c r="AR1293" s="98"/>
      <c r="AS1293" s="57"/>
      <c r="AU1293" s="57"/>
      <c r="BF1293" s="98"/>
      <c r="BG1293" s="98"/>
      <c r="BH1293" s="98"/>
      <c r="BI1293" s="98"/>
      <c r="BJ1293" s="98"/>
      <c r="BK1293" s="98"/>
      <c r="BL1293" s="98"/>
      <c r="BM1293" s="57"/>
    </row>
    <row r="1294" spans="1:65" ht="11.25" x14ac:dyDescent="0.2">
      <c r="A1294" s="57"/>
      <c r="B1294" s="57"/>
      <c r="C1294" s="57"/>
      <c r="D1294" s="57"/>
      <c r="E1294" s="57"/>
      <c r="F1294" s="57"/>
      <c r="G1294" s="57"/>
      <c r="H1294" s="57"/>
      <c r="I1294" s="57"/>
      <c r="J1294" s="57"/>
      <c r="L1294" s="57"/>
      <c r="M1294" s="57"/>
      <c r="N1294" s="57"/>
      <c r="O1294" s="57"/>
      <c r="P1294" s="57"/>
      <c r="Q1294" s="57"/>
      <c r="R1294" s="57"/>
      <c r="S1294" s="57"/>
      <c r="T1294" s="57"/>
      <c r="U1294" s="57"/>
      <c r="V1294" s="57"/>
      <c r="W1294" s="57"/>
      <c r="X1294" s="57"/>
      <c r="Y1294" s="98"/>
      <c r="AA1294" s="98"/>
      <c r="AR1294" s="98"/>
      <c r="AS1294" s="57"/>
      <c r="AU1294" s="57"/>
      <c r="BF1294" s="98"/>
      <c r="BG1294" s="98"/>
      <c r="BH1294" s="98"/>
      <c r="BI1294" s="98"/>
      <c r="BJ1294" s="98"/>
      <c r="BK1294" s="98"/>
      <c r="BL1294" s="98"/>
      <c r="BM1294" s="57"/>
    </row>
    <row r="1295" spans="1:65" ht="11.25" x14ac:dyDescent="0.2">
      <c r="A1295" s="57"/>
      <c r="B1295" s="57"/>
      <c r="C1295" s="57"/>
      <c r="D1295" s="57"/>
      <c r="E1295" s="57"/>
      <c r="F1295" s="57"/>
      <c r="G1295" s="57"/>
      <c r="H1295" s="57"/>
      <c r="I1295" s="57"/>
      <c r="J1295" s="57"/>
      <c r="L1295" s="57"/>
      <c r="M1295" s="57"/>
      <c r="N1295" s="57"/>
      <c r="O1295" s="57"/>
      <c r="P1295" s="57"/>
      <c r="Q1295" s="57"/>
      <c r="R1295" s="57"/>
      <c r="S1295" s="57"/>
      <c r="T1295" s="57"/>
      <c r="U1295" s="57"/>
      <c r="V1295" s="57"/>
      <c r="W1295" s="57"/>
      <c r="X1295" s="57"/>
      <c r="Y1295" s="98"/>
      <c r="AA1295" s="98"/>
      <c r="AR1295" s="98"/>
      <c r="AS1295" s="57"/>
      <c r="AU1295" s="57"/>
      <c r="BF1295" s="98"/>
      <c r="BG1295" s="98"/>
      <c r="BH1295" s="98"/>
      <c r="BI1295" s="98"/>
      <c r="BJ1295" s="98"/>
      <c r="BK1295" s="98"/>
      <c r="BL1295" s="98"/>
      <c r="BM1295" s="57"/>
    </row>
    <row r="1296" spans="1:65" ht="11.25" x14ac:dyDescent="0.2">
      <c r="A1296" s="57"/>
      <c r="B1296" s="57"/>
      <c r="C1296" s="57"/>
      <c r="D1296" s="57"/>
      <c r="E1296" s="57"/>
      <c r="F1296" s="57"/>
      <c r="G1296" s="57"/>
      <c r="H1296" s="57"/>
      <c r="I1296" s="57"/>
      <c r="J1296" s="57"/>
      <c r="L1296" s="57"/>
      <c r="M1296" s="57"/>
      <c r="N1296" s="57"/>
      <c r="O1296" s="57"/>
      <c r="P1296" s="57"/>
      <c r="Q1296" s="57"/>
      <c r="R1296" s="57"/>
      <c r="S1296" s="57"/>
      <c r="T1296" s="57"/>
      <c r="U1296" s="57"/>
      <c r="V1296" s="57"/>
      <c r="W1296" s="57"/>
      <c r="X1296" s="57"/>
      <c r="Y1296" s="98"/>
      <c r="AA1296" s="98"/>
      <c r="AR1296" s="98"/>
      <c r="AS1296" s="57"/>
      <c r="AU1296" s="57"/>
      <c r="BF1296" s="98"/>
      <c r="BG1296" s="98"/>
      <c r="BH1296" s="98"/>
      <c r="BI1296" s="98"/>
      <c r="BJ1296" s="98"/>
      <c r="BK1296" s="98"/>
      <c r="BL1296" s="98"/>
      <c r="BM1296" s="57"/>
    </row>
    <row r="1297" spans="1:65" ht="11.25" x14ac:dyDescent="0.2">
      <c r="A1297" s="57"/>
      <c r="B1297" s="57"/>
      <c r="C1297" s="57"/>
      <c r="D1297" s="57"/>
      <c r="E1297" s="57"/>
      <c r="F1297" s="57"/>
      <c r="G1297" s="57"/>
      <c r="H1297" s="57"/>
      <c r="I1297" s="57"/>
      <c r="J1297" s="57"/>
      <c r="L1297" s="57"/>
      <c r="M1297" s="57"/>
      <c r="N1297" s="57"/>
      <c r="O1297" s="57"/>
      <c r="P1297" s="57"/>
      <c r="Q1297" s="57"/>
      <c r="R1297" s="57"/>
      <c r="S1297" s="57"/>
      <c r="T1297" s="57"/>
      <c r="U1297" s="57"/>
      <c r="V1297" s="57"/>
      <c r="W1297" s="57"/>
      <c r="X1297" s="57"/>
      <c r="Y1297" s="98"/>
      <c r="AA1297" s="98"/>
      <c r="AR1297" s="98"/>
      <c r="AS1297" s="57"/>
      <c r="AU1297" s="57"/>
      <c r="BF1297" s="98"/>
      <c r="BG1297" s="98"/>
      <c r="BH1297" s="98"/>
      <c r="BI1297" s="98"/>
      <c r="BJ1297" s="98"/>
      <c r="BK1297" s="98"/>
      <c r="BL1297" s="98"/>
      <c r="BM1297" s="57"/>
    </row>
    <row r="1298" spans="1:65" ht="11.25" x14ac:dyDescent="0.2">
      <c r="A1298" s="57"/>
      <c r="B1298" s="57"/>
      <c r="C1298" s="57"/>
      <c r="D1298" s="57"/>
      <c r="E1298" s="57"/>
      <c r="F1298" s="57"/>
      <c r="G1298" s="57"/>
      <c r="H1298" s="57"/>
      <c r="I1298" s="57"/>
      <c r="J1298" s="57"/>
      <c r="L1298" s="57"/>
      <c r="M1298" s="57"/>
      <c r="N1298" s="57"/>
      <c r="O1298" s="57"/>
      <c r="P1298" s="57"/>
      <c r="Q1298" s="57"/>
      <c r="R1298" s="57"/>
      <c r="S1298" s="57"/>
      <c r="T1298" s="57"/>
      <c r="U1298" s="57"/>
      <c r="V1298" s="57"/>
      <c r="W1298" s="57"/>
      <c r="X1298" s="57"/>
      <c r="Y1298" s="98"/>
      <c r="AA1298" s="98"/>
      <c r="AR1298" s="98"/>
      <c r="AS1298" s="57"/>
      <c r="AU1298" s="57"/>
      <c r="BF1298" s="98"/>
      <c r="BG1298" s="98"/>
      <c r="BH1298" s="98"/>
      <c r="BI1298" s="98"/>
      <c r="BJ1298" s="98"/>
      <c r="BK1298" s="98"/>
      <c r="BL1298" s="98"/>
      <c r="BM1298" s="57"/>
    </row>
    <row r="1299" spans="1:65" ht="11.25" x14ac:dyDescent="0.2">
      <c r="A1299" s="57"/>
      <c r="B1299" s="57"/>
      <c r="C1299" s="57"/>
      <c r="D1299" s="57"/>
      <c r="E1299" s="57"/>
      <c r="F1299" s="57"/>
      <c r="G1299" s="57"/>
      <c r="H1299" s="57"/>
      <c r="I1299" s="57"/>
      <c r="J1299" s="57"/>
      <c r="L1299" s="57"/>
      <c r="M1299" s="57"/>
      <c r="N1299" s="57"/>
      <c r="O1299" s="57"/>
      <c r="P1299" s="57"/>
      <c r="Q1299" s="57"/>
      <c r="R1299" s="57"/>
      <c r="S1299" s="57"/>
      <c r="T1299" s="57"/>
      <c r="U1299" s="57"/>
      <c r="V1299" s="57"/>
      <c r="W1299" s="57"/>
      <c r="X1299" s="57"/>
      <c r="Y1299" s="98"/>
      <c r="AA1299" s="98"/>
      <c r="AR1299" s="98"/>
      <c r="AS1299" s="57"/>
      <c r="AU1299" s="57"/>
      <c r="BF1299" s="98"/>
      <c r="BG1299" s="98"/>
      <c r="BH1299" s="98"/>
      <c r="BI1299" s="98"/>
      <c r="BJ1299" s="98"/>
      <c r="BK1299" s="98"/>
      <c r="BL1299" s="98"/>
      <c r="BM1299" s="57"/>
    </row>
    <row r="1300" spans="1:65" ht="11.25" x14ac:dyDescent="0.2">
      <c r="A1300" s="57"/>
      <c r="B1300" s="57"/>
      <c r="C1300" s="57"/>
      <c r="D1300" s="57"/>
      <c r="E1300" s="57"/>
      <c r="F1300" s="57"/>
      <c r="G1300" s="57"/>
      <c r="H1300" s="57"/>
      <c r="I1300" s="57"/>
      <c r="J1300" s="57"/>
      <c r="L1300" s="57"/>
      <c r="M1300" s="57"/>
      <c r="N1300" s="57"/>
      <c r="O1300" s="57"/>
      <c r="P1300" s="57"/>
      <c r="Q1300" s="57"/>
      <c r="R1300" s="57"/>
      <c r="S1300" s="57"/>
      <c r="T1300" s="57"/>
      <c r="U1300" s="57"/>
      <c r="V1300" s="57"/>
      <c r="W1300" s="57"/>
      <c r="X1300" s="57"/>
      <c r="Y1300" s="98"/>
      <c r="AA1300" s="98"/>
      <c r="AR1300" s="98"/>
      <c r="AS1300" s="57"/>
      <c r="AU1300" s="57"/>
      <c r="BF1300" s="98"/>
      <c r="BG1300" s="98"/>
      <c r="BH1300" s="98"/>
      <c r="BI1300" s="98"/>
      <c r="BJ1300" s="98"/>
      <c r="BK1300" s="98"/>
      <c r="BL1300" s="98"/>
      <c r="BM1300" s="57"/>
    </row>
    <row r="1301" spans="1:65" ht="11.25" x14ac:dyDescent="0.2">
      <c r="A1301" s="57"/>
      <c r="B1301" s="57"/>
      <c r="C1301" s="57"/>
      <c r="D1301" s="57"/>
      <c r="E1301" s="57"/>
      <c r="F1301" s="57"/>
      <c r="G1301" s="57"/>
      <c r="H1301" s="57"/>
      <c r="I1301" s="57"/>
      <c r="J1301" s="57"/>
      <c r="L1301" s="57"/>
      <c r="M1301" s="57"/>
      <c r="N1301" s="57"/>
      <c r="O1301" s="57"/>
      <c r="P1301" s="57"/>
      <c r="Q1301" s="57"/>
      <c r="R1301" s="57"/>
      <c r="S1301" s="57"/>
      <c r="T1301" s="57"/>
      <c r="U1301" s="57"/>
      <c r="V1301" s="57"/>
      <c r="W1301" s="57"/>
      <c r="X1301" s="57"/>
      <c r="Y1301" s="98"/>
      <c r="AA1301" s="98"/>
      <c r="AR1301" s="98"/>
      <c r="AS1301" s="57"/>
      <c r="AU1301" s="57"/>
      <c r="BF1301" s="98"/>
      <c r="BG1301" s="98"/>
      <c r="BH1301" s="98"/>
      <c r="BI1301" s="98"/>
      <c r="BJ1301" s="98"/>
      <c r="BK1301" s="98"/>
      <c r="BL1301" s="98"/>
      <c r="BM1301" s="57"/>
    </row>
    <row r="1302" spans="1:65" ht="11.25" x14ac:dyDescent="0.2">
      <c r="A1302" s="57"/>
      <c r="B1302" s="57"/>
      <c r="C1302" s="57"/>
      <c r="D1302" s="57"/>
      <c r="E1302" s="57"/>
      <c r="F1302" s="57"/>
      <c r="G1302" s="57"/>
      <c r="H1302" s="57"/>
      <c r="I1302" s="57"/>
      <c r="J1302" s="57"/>
      <c r="L1302" s="57"/>
      <c r="M1302" s="57"/>
      <c r="N1302" s="57"/>
      <c r="O1302" s="57"/>
      <c r="P1302" s="57"/>
      <c r="Q1302" s="57"/>
      <c r="R1302" s="57"/>
      <c r="S1302" s="57"/>
      <c r="T1302" s="57"/>
      <c r="U1302" s="57"/>
      <c r="V1302" s="57"/>
      <c r="W1302" s="57"/>
      <c r="X1302" s="57"/>
      <c r="Y1302" s="98"/>
      <c r="AA1302" s="98"/>
      <c r="AR1302" s="98"/>
      <c r="AS1302" s="57"/>
      <c r="AU1302" s="57"/>
      <c r="BF1302" s="98"/>
      <c r="BG1302" s="98"/>
      <c r="BH1302" s="98"/>
      <c r="BI1302" s="98"/>
      <c r="BJ1302" s="98"/>
      <c r="BK1302" s="98"/>
      <c r="BL1302" s="98"/>
      <c r="BM1302" s="57"/>
    </row>
    <row r="1303" spans="1:65" ht="11.25" x14ac:dyDescent="0.2">
      <c r="A1303" s="57"/>
      <c r="B1303" s="57"/>
      <c r="C1303" s="57"/>
      <c r="D1303" s="57"/>
      <c r="E1303" s="57"/>
      <c r="F1303" s="57"/>
      <c r="G1303" s="57"/>
      <c r="H1303" s="57"/>
      <c r="I1303" s="57"/>
      <c r="J1303" s="57"/>
      <c r="L1303" s="57"/>
      <c r="M1303" s="57"/>
      <c r="N1303" s="57"/>
      <c r="O1303" s="57"/>
      <c r="P1303" s="57"/>
      <c r="Q1303" s="57"/>
      <c r="R1303" s="57"/>
      <c r="S1303" s="57"/>
      <c r="T1303" s="57"/>
      <c r="U1303" s="57"/>
      <c r="V1303" s="57"/>
      <c r="W1303" s="57"/>
      <c r="X1303" s="57"/>
      <c r="Y1303" s="98"/>
      <c r="AA1303" s="98"/>
      <c r="AR1303" s="98"/>
      <c r="AS1303" s="57"/>
      <c r="AU1303" s="57"/>
      <c r="BF1303" s="98"/>
      <c r="BG1303" s="98"/>
      <c r="BH1303" s="98"/>
      <c r="BI1303" s="98"/>
      <c r="BJ1303" s="98"/>
      <c r="BK1303" s="98"/>
      <c r="BL1303" s="98"/>
      <c r="BM1303" s="57"/>
    </row>
    <row r="1304" spans="1:65" ht="11.25" x14ac:dyDescent="0.2">
      <c r="A1304" s="57"/>
      <c r="B1304" s="57"/>
      <c r="C1304" s="57"/>
      <c r="D1304" s="57"/>
      <c r="E1304" s="57"/>
      <c r="F1304" s="57"/>
      <c r="G1304" s="57"/>
      <c r="H1304" s="57"/>
      <c r="I1304" s="57"/>
      <c r="J1304" s="57"/>
      <c r="L1304" s="57"/>
      <c r="M1304" s="57"/>
      <c r="N1304" s="57"/>
      <c r="O1304" s="57"/>
      <c r="P1304" s="57"/>
      <c r="Q1304" s="57"/>
      <c r="R1304" s="57"/>
      <c r="S1304" s="57"/>
      <c r="T1304" s="57"/>
      <c r="U1304" s="57"/>
      <c r="V1304" s="57"/>
      <c r="W1304" s="57"/>
      <c r="X1304" s="57"/>
      <c r="Y1304" s="98"/>
      <c r="AA1304" s="98"/>
      <c r="AR1304" s="98"/>
      <c r="AS1304" s="57"/>
      <c r="AU1304" s="57"/>
      <c r="BF1304" s="98"/>
      <c r="BG1304" s="98"/>
      <c r="BH1304" s="98"/>
      <c r="BI1304" s="98"/>
      <c r="BJ1304" s="98"/>
      <c r="BK1304" s="98"/>
      <c r="BL1304" s="98"/>
      <c r="BM1304" s="57"/>
    </row>
    <row r="1305" spans="1:65" ht="11.25" x14ac:dyDescent="0.2">
      <c r="A1305" s="57"/>
      <c r="B1305" s="57"/>
      <c r="C1305" s="57"/>
      <c r="D1305" s="57"/>
      <c r="E1305" s="57"/>
      <c r="F1305" s="57"/>
      <c r="G1305" s="57"/>
      <c r="H1305" s="57"/>
      <c r="I1305" s="57"/>
      <c r="J1305" s="57"/>
      <c r="L1305" s="57"/>
      <c r="M1305" s="57"/>
      <c r="N1305" s="57"/>
      <c r="O1305" s="57"/>
      <c r="P1305" s="57"/>
      <c r="Q1305" s="57"/>
      <c r="R1305" s="57"/>
      <c r="S1305" s="57"/>
      <c r="T1305" s="57"/>
      <c r="U1305" s="57"/>
      <c r="V1305" s="57"/>
      <c r="W1305" s="57"/>
      <c r="X1305" s="57"/>
      <c r="Y1305" s="98"/>
      <c r="AA1305" s="98"/>
      <c r="AR1305" s="98"/>
      <c r="AS1305" s="57"/>
      <c r="AU1305" s="57"/>
      <c r="BF1305" s="98"/>
      <c r="BG1305" s="98"/>
      <c r="BH1305" s="98"/>
      <c r="BI1305" s="98"/>
      <c r="BJ1305" s="98"/>
      <c r="BK1305" s="98"/>
      <c r="BL1305" s="98"/>
      <c r="BM1305" s="57"/>
    </row>
    <row r="1306" spans="1:65" ht="11.25" x14ac:dyDescent="0.2">
      <c r="A1306" s="57"/>
      <c r="B1306" s="57"/>
      <c r="C1306" s="57"/>
      <c r="D1306" s="57"/>
      <c r="E1306" s="57"/>
      <c r="F1306" s="57"/>
      <c r="G1306" s="57"/>
      <c r="H1306" s="57"/>
      <c r="I1306" s="57"/>
      <c r="J1306" s="57"/>
      <c r="L1306" s="57"/>
      <c r="M1306" s="57"/>
      <c r="N1306" s="57"/>
      <c r="O1306" s="57"/>
      <c r="P1306" s="57"/>
      <c r="Q1306" s="57"/>
      <c r="R1306" s="57"/>
      <c r="S1306" s="57"/>
      <c r="T1306" s="57"/>
      <c r="U1306" s="57"/>
      <c r="V1306" s="57"/>
      <c r="W1306" s="57"/>
      <c r="X1306" s="57"/>
      <c r="Y1306" s="98"/>
      <c r="AA1306" s="98"/>
      <c r="AR1306" s="98"/>
      <c r="AS1306" s="57"/>
      <c r="AU1306" s="57"/>
      <c r="BF1306" s="98"/>
      <c r="BG1306" s="98"/>
      <c r="BH1306" s="98"/>
      <c r="BI1306" s="98"/>
      <c r="BJ1306" s="98"/>
      <c r="BK1306" s="98"/>
      <c r="BL1306" s="98"/>
      <c r="BM1306" s="57"/>
    </row>
    <row r="1307" spans="1:65" ht="11.25" x14ac:dyDescent="0.2">
      <c r="A1307" s="57"/>
      <c r="B1307" s="57"/>
      <c r="C1307" s="57"/>
      <c r="D1307" s="57"/>
      <c r="E1307" s="57"/>
      <c r="F1307" s="57"/>
      <c r="G1307" s="57"/>
      <c r="H1307" s="57"/>
      <c r="I1307" s="57"/>
      <c r="J1307" s="57"/>
      <c r="L1307" s="57"/>
      <c r="M1307" s="57"/>
      <c r="N1307" s="57"/>
      <c r="O1307" s="57"/>
      <c r="P1307" s="57"/>
      <c r="Q1307" s="57"/>
      <c r="R1307" s="57"/>
      <c r="S1307" s="57"/>
      <c r="T1307" s="57"/>
      <c r="U1307" s="57"/>
      <c r="V1307" s="57"/>
      <c r="W1307" s="57"/>
      <c r="X1307" s="57"/>
      <c r="Y1307" s="98"/>
      <c r="AA1307" s="98"/>
      <c r="AR1307" s="98"/>
      <c r="AS1307" s="57"/>
      <c r="AU1307" s="57"/>
      <c r="BF1307" s="98"/>
      <c r="BG1307" s="98"/>
      <c r="BH1307" s="98"/>
      <c r="BI1307" s="98"/>
      <c r="BJ1307" s="98"/>
      <c r="BK1307" s="98"/>
      <c r="BL1307" s="98"/>
      <c r="BM1307" s="57"/>
    </row>
    <row r="1308" spans="1:65" ht="11.25" x14ac:dyDescent="0.2">
      <c r="A1308" s="57"/>
      <c r="B1308" s="57"/>
      <c r="C1308" s="57"/>
      <c r="D1308" s="57"/>
      <c r="E1308" s="57"/>
      <c r="F1308" s="57"/>
      <c r="G1308" s="57"/>
      <c r="H1308" s="57"/>
      <c r="I1308" s="57"/>
      <c r="J1308" s="57"/>
      <c r="L1308" s="57"/>
      <c r="M1308" s="57"/>
      <c r="N1308" s="57"/>
      <c r="O1308" s="57"/>
      <c r="P1308" s="57"/>
      <c r="Q1308" s="57"/>
      <c r="R1308" s="57"/>
      <c r="S1308" s="57"/>
      <c r="T1308" s="57"/>
      <c r="U1308" s="57"/>
      <c r="V1308" s="57"/>
      <c r="W1308" s="57"/>
      <c r="X1308" s="57"/>
      <c r="Y1308" s="98"/>
      <c r="AA1308" s="98"/>
      <c r="AR1308" s="98"/>
      <c r="AS1308" s="57"/>
      <c r="AU1308" s="57"/>
      <c r="BF1308" s="98"/>
      <c r="BG1308" s="98"/>
      <c r="BH1308" s="98"/>
      <c r="BI1308" s="98"/>
      <c r="BJ1308" s="98"/>
      <c r="BK1308" s="98"/>
      <c r="BL1308" s="98"/>
      <c r="BM1308" s="57"/>
    </row>
    <row r="1309" spans="1:65" ht="11.25" x14ac:dyDescent="0.2">
      <c r="A1309" s="57"/>
      <c r="B1309" s="57"/>
      <c r="C1309" s="57"/>
      <c r="D1309" s="57"/>
      <c r="E1309" s="57"/>
      <c r="F1309" s="57"/>
      <c r="G1309" s="57"/>
      <c r="H1309" s="57"/>
      <c r="I1309" s="57"/>
      <c r="J1309" s="57"/>
      <c r="L1309" s="57"/>
      <c r="M1309" s="57"/>
      <c r="N1309" s="57"/>
      <c r="O1309" s="57"/>
      <c r="P1309" s="57"/>
      <c r="Q1309" s="57"/>
      <c r="R1309" s="57"/>
      <c r="S1309" s="57"/>
      <c r="T1309" s="57"/>
      <c r="U1309" s="57"/>
      <c r="V1309" s="57"/>
      <c r="W1309" s="57"/>
      <c r="X1309" s="57"/>
      <c r="Y1309" s="98"/>
      <c r="AA1309" s="98"/>
      <c r="AR1309" s="98"/>
      <c r="AS1309" s="57"/>
      <c r="AU1309" s="57"/>
      <c r="BF1309" s="98"/>
      <c r="BG1309" s="98"/>
      <c r="BH1309" s="98"/>
      <c r="BI1309" s="98"/>
      <c r="BJ1309" s="98"/>
      <c r="BK1309" s="98"/>
      <c r="BL1309" s="98"/>
      <c r="BM1309" s="57"/>
    </row>
    <row r="1310" spans="1:65" ht="11.25" x14ac:dyDescent="0.2">
      <c r="A1310" s="57"/>
      <c r="B1310" s="57"/>
      <c r="C1310" s="57"/>
      <c r="D1310" s="57"/>
      <c r="E1310" s="57"/>
      <c r="F1310" s="57"/>
      <c r="G1310" s="57"/>
      <c r="H1310" s="57"/>
      <c r="I1310" s="57"/>
      <c r="J1310" s="57"/>
      <c r="L1310" s="57"/>
      <c r="M1310" s="57"/>
      <c r="N1310" s="57"/>
      <c r="O1310" s="57"/>
      <c r="P1310" s="57"/>
      <c r="Q1310" s="57"/>
      <c r="R1310" s="57"/>
      <c r="S1310" s="57"/>
      <c r="T1310" s="57"/>
      <c r="U1310" s="57"/>
      <c r="V1310" s="57"/>
      <c r="W1310" s="57"/>
      <c r="X1310" s="57"/>
      <c r="Y1310" s="98"/>
      <c r="AA1310" s="98"/>
      <c r="AR1310" s="98"/>
      <c r="AS1310" s="57"/>
      <c r="AU1310" s="57"/>
      <c r="BF1310" s="98"/>
      <c r="BG1310" s="98"/>
      <c r="BH1310" s="98"/>
      <c r="BI1310" s="98"/>
      <c r="BJ1310" s="98"/>
      <c r="BK1310" s="98"/>
      <c r="BL1310" s="98"/>
      <c r="BM1310" s="57"/>
    </row>
    <row r="1311" spans="1:65" ht="11.25" x14ac:dyDescent="0.2">
      <c r="A1311" s="57"/>
      <c r="B1311" s="57"/>
      <c r="C1311" s="57"/>
      <c r="D1311" s="57"/>
      <c r="E1311" s="57"/>
      <c r="F1311" s="57"/>
      <c r="G1311" s="57"/>
      <c r="H1311" s="57"/>
      <c r="I1311" s="57"/>
      <c r="J1311" s="57"/>
      <c r="L1311" s="57"/>
      <c r="M1311" s="57"/>
      <c r="N1311" s="57"/>
      <c r="O1311" s="57"/>
      <c r="P1311" s="57"/>
      <c r="Q1311" s="57"/>
      <c r="R1311" s="57"/>
      <c r="S1311" s="57"/>
      <c r="T1311" s="57"/>
      <c r="U1311" s="57"/>
      <c r="V1311" s="57"/>
      <c r="W1311" s="57"/>
      <c r="X1311" s="57"/>
      <c r="Y1311" s="98"/>
      <c r="AA1311" s="98"/>
      <c r="AR1311" s="98"/>
      <c r="AS1311" s="57"/>
      <c r="AU1311" s="57"/>
      <c r="BF1311" s="98"/>
      <c r="BG1311" s="98"/>
      <c r="BH1311" s="98"/>
      <c r="BI1311" s="98"/>
      <c r="BJ1311" s="98"/>
      <c r="BK1311" s="98"/>
      <c r="BL1311" s="98"/>
      <c r="BM1311" s="57"/>
    </row>
    <row r="1312" spans="1:65" ht="11.25" x14ac:dyDescent="0.2">
      <c r="A1312" s="57"/>
      <c r="B1312" s="57"/>
      <c r="C1312" s="57"/>
      <c r="D1312" s="57"/>
      <c r="E1312" s="57"/>
      <c r="F1312" s="57"/>
      <c r="G1312" s="57"/>
      <c r="H1312" s="57"/>
      <c r="I1312" s="57"/>
      <c r="J1312" s="57"/>
      <c r="L1312" s="57"/>
      <c r="M1312" s="57"/>
      <c r="N1312" s="57"/>
      <c r="O1312" s="57"/>
      <c r="P1312" s="57"/>
      <c r="Q1312" s="57"/>
      <c r="R1312" s="57"/>
      <c r="S1312" s="57"/>
      <c r="T1312" s="57"/>
      <c r="U1312" s="57"/>
      <c r="V1312" s="57"/>
      <c r="W1312" s="57"/>
      <c r="X1312" s="57"/>
      <c r="Y1312" s="98"/>
      <c r="AA1312" s="98"/>
      <c r="AR1312" s="98"/>
      <c r="AS1312" s="57"/>
      <c r="AU1312" s="57"/>
      <c r="BF1312" s="98"/>
      <c r="BG1312" s="98"/>
      <c r="BH1312" s="98"/>
      <c r="BI1312" s="98"/>
      <c r="BJ1312" s="98"/>
      <c r="BK1312" s="98"/>
      <c r="BL1312" s="98"/>
      <c r="BM1312" s="57"/>
    </row>
    <row r="1313" spans="1:65" ht="11.25" x14ac:dyDescent="0.2">
      <c r="A1313" s="57"/>
      <c r="B1313" s="57"/>
      <c r="C1313" s="57"/>
      <c r="D1313" s="57"/>
      <c r="E1313" s="57"/>
      <c r="F1313" s="57"/>
      <c r="G1313" s="57"/>
      <c r="H1313" s="57"/>
      <c r="I1313" s="57"/>
      <c r="J1313" s="57"/>
      <c r="L1313" s="57"/>
      <c r="M1313" s="57"/>
      <c r="N1313" s="57"/>
      <c r="O1313" s="57"/>
      <c r="P1313" s="57"/>
      <c r="Q1313" s="57"/>
      <c r="R1313" s="57"/>
      <c r="S1313" s="57"/>
      <c r="T1313" s="57"/>
      <c r="U1313" s="57"/>
      <c r="V1313" s="57"/>
      <c r="W1313" s="57"/>
      <c r="X1313" s="57"/>
      <c r="Y1313" s="98"/>
      <c r="AA1313" s="98"/>
      <c r="AR1313" s="98"/>
      <c r="AS1313" s="57"/>
      <c r="AU1313" s="57"/>
      <c r="BF1313" s="98"/>
      <c r="BG1313" s="98"/>
      <c r="BH1313" s="98"/>
      <c r="BI1313" s="98"/>
      <c r="BJ1313" s="98"/>
      <c r="BK1313" s="98"/>
      <c r="BL1313" s="98"/>
      <c r="BM1313" s="57"/>
    </row>
    <row r="1314" spans="1:65" ht="11.25" x14ac:dyDescent="0.2">
      <c r="A1314" s="57"/>
      <c r="B1314" s="57"/>
      <c r="C1314" s="57"/>
      <c r="D1314" s="57"/>
      <c r="E1314" s="57"/>
      <c r="F1314" s="57"/>
      <c r="G1314" s="57"/>
      <c r="H1314" s="57"/>
      <c r="I1314" s="57"/>
      <c r="J1314" s="57"/>
      <c r="L1314" s="57"/>
      <c r="M1314" s="57"/>
      <c r="N1314" s="57"/>
      <c r="O1314" s="57"/>
      <c r="P1314" s="57"/>
      <c r="Q1314" s="57"/>
      <c r="R1314" s="57"/>
      <c r="S1314" s="57"/>
      <c r="T1314" s="57"/>
      <c r="U1314" s="57"/>
      <c r="V1314" s="57"/>
      <c r="W1314" s="57"/>
      <c r="X1314" s="57"/>
      <c r="Y1314" s="98"/>
      <c r="AA1314" s="98"/>
      <c r="AR1314" s="98"/>
      <c r="AS1314" s="57"/>
      <c r="AU1314" s="57"/>
      <c r="BF1314" s="98"/>
      <c r="BG1314" s="98"/>
      <c r="BH1314" s="98"/>
      <c r="BI1314" s="98"/>
      <c r="BJ1314" s="98"/>
      <c r="BK1314" s="98"/>
      <c r="BL1314" s="98"/>
      <c r="BM1314" s="57"/>
    </row>
    <row r="1315" spans="1:65" ht="11.25" x14ac:dyDescent="0.2">
      <c r="A1315" s="57"/>
      <c r="B1315" s="57"/>
      <c r="C1315" s="57"/>
      <c r="D1315" s="57"/>
      <c r="E1315" s="57"/>
      <c r="F1315" s="57"/>
      <c r="G1315" s="57"/>
      <c r="H1315" s="57"/>
      <c r="I1315" s="57"/>
      <c r="J1315" s="57"/>
      <c r="L1315" s="57"/>
      <c r="M1315" s="57"/>
      <c r="N1315" s="57"/>
      <c r="O1315" s="57"/>
      <c r="P1315" s="57"/>
      <c r="Q1315" s="57"/>
      <c r="R1315" s="57"/>
      <c r="S1315" s="57"/>
      <c r="T1315" s="57"/>
      <c r="U1315" s="57"/>
      <c r="V1315" s="57"/>
      <c r="W1315" s="57"/>
      <c r="X1315" s="57"/>
      <c r="Y1315" s="98"/>
      <c r="AA1315" s="98"/>
      <c r="AR1315" s="98"/>
      <c r="AS1315" s="57"/>
      <c r="AU1315" s="57"/>
      <c r="BF1315" s="98"/>
      <c r="BG1315" s="98"/>
      <c r="BH1315" s="98"/>
      <c r="BI1315" s="98"/>
      <c r="BJ1315" s="98"/>
      <c r="BK1315" s="98"/>
      <c r="BL1315" s="98"/>
      <c r="BM1315" s="57"/>
    </row>
    <row r="1316" spans="1:65" ht="11.25" x14ac:dyDescent="0.2">
      <c r="A1316" s="57"/>
      <c r="B1316" s="57"/>
      <c r="C1316" s="57"/>
      <c r="D1316" s="57"/>
      <c r="E1316" s="57"/>
      <c r="F1316" s="57"/>
      <c r="G1316" s="57"/>
      <c r="H1316" s="57"/>
      <c r="I1316" s="57"/>
      <c r="J1316" s="57"/>
      <c r="L1316" s="57"/>
      <c r="M1316" s="57"/>
      <c r="N1316" s="57"/>
      <c r="O1316" s="57"/>
      <c r="P1316" s="57"/>
      <c r="Q1316" s="57"/>
      <c r="R1316" s="57"/>
      <c r="S1316" s="57"/>
      <c r="T1316" s="57"/>
      <c r="U1316" s="57"/>
      <c r="V1316" s="57"/>
      <c r="W1316" s="57"/>
      <c r="X1316" s="57"/>
      <c r="Y1316" s="98"/>
      <c r="AA1316" s="98"/>
      <c r="AR1316" s="98"/>
      <c r="AS1316" s="57"/>
      <c r="AU1316" s="57"/>
      <c r="BF1316" s="98"/>
      <c r="BG1316" s="98"/>
      <c r="BH1316" s="98"/>
      <c r="BI1316" s="98"/>
      <c r="BJ1316" s="98"/>
      <c r="BK1316" s="98"/>
      <c r="BL1316" s="98"/>
      <c r="BM1316" s="57"/>
    </row>
    <row r="1317" spans="1:65" ht="11.25" x14ac:dyDescent="0.2">
      <c r="A1317" s="57"/>
      <c r="B1317" s="57"/>
      <c r="C1317" s="57"/>
      <c r="D1317" s="57"/>
      <c r="E1317" s="57"/>
      <c r="F1317" s="57"/>
      <c r="G1317" s="57"/>
      <c r="H1317" s="57"/>
      <c r="I1317" s="57"/>
      <c r="J1317" s="57"/>
      <c r="L1317" s="57"/>
      <c r="M1317" s="57"/>
      <c r="N1317" s="57"/>
      <c r="O1317" s="57"/>
      <c r="P1317" s="57"/>
      <c r="Q1317" s="57"/>
      <c r="R1317" s="57"/>
      <c r="S1317" s="57"/>
      <c r="T1317" s="57"/>
      <c r="U1317" s="57"/>
      <c r="V1317" s="57"/>
      <c r="W1317" s="57"/>
      <c r="X1317" s="57"/>
      <c r="Y1317" s="98"/>
      <c r="AA1317" s="98"/>
      <c r="AR1317" s="98"/>
      <c r="AS1317" s="57"/>
      <c r="AU1317" s="57"/>
      <c r="BF1317" s="98"/>
      <c r="BG1317" s="98"/>
      <c r="BH1317" s="98"/>
      <c r="BI1317" s="98"/>
      <c r="BJ1317" s="98"/>
      <c r="BK1317" s="98"/>
      <c r="BL1317" s="98"/>
      <c r="BM1317" s="57"/>
    </row>
    <row r="1318" spans="1:65" ht="11.25" x14ac:dyDescent="0.2">
      <c r="A1318" s="57"/>
      <c r="B1318" s="57"/>
      <c r="C1318" s="57"/>
      <c r="D1318" s="57"/>
      <c r="E1318" s="57"/>
      <c r="F1318" s="57"/>
      <c r="G1318" s="57"/>
      <c r="H1318" s="57"/>
      <c r="I1318" s="57"/>
      <c r="J1318" s="57"/>
      <c r="L1318" s="57"/>
      <c r="M1318" s="57"/>
      <c r="N1318" s="57"/>
      <c r="O1318" s="57"/>
      <c r="P1318" s="57"/>
      <c r="Q1318" s="57"/>
      <c r="R1318" s="57"/>
      <c r="S1318" s="57"/>
      <c r="T1318" s="57"/>
      <c r="U1318" s="57"/>
      <c r="V1318" s="57"/>
      <c r="W1318" s="57"/>
      <c r="X1318" s="57"/>
      <c r="Y1318" s="98"/>
      <c r="AA1318" s="98"/>
      <c r="AR1318" s="98"/>
      <c r="AS1318" s="57"/>
      <c r="AU1318" s="57"/>
      <c r="BF1318" s="98"/>
      <c r="BG1318" s="98"/>
      <c r="BH1318" s="98"/>
      <c r="BI1318" s="98"/>
      <c r="BJ1318" s="98"/>
      <c r="BK1318" s="98"/>
      <c r="BL1318" s="98"/>
      <c r="BM1318" s="57"/>
    </row>
    <row r="1319" spans="1:65" ht="11.25" x14ac:dyDescent="0.2">
      <c r="A1319" s="57"/>
      <c r="B1319" s="57"/>
      <c r="C1319" s="57"/>
      <c r="D1319" s="57"/>
      <c r="E1319" s="57"/>
      <c r="F1319" s="57"/>
      <c r="G1319" s="57"/>
      <c r="H1319" s="57"/>
      <c r="I1319" s="57"/>
      <c r="J1319" s="57"/>
      <c r="L1319" s="57"/>
      <c r="M1319" s="57"/>
      <c r="N1319" s="57"/>
      <c r="O1319" s="57"/>
      <c r="P1319" s="57"/>
      <c r="Q1319" s="57"/>
      <c r="R1319" s="57"/>
      <c r="S1319" s="57"/>
      <c r="T1319" s="57"/>
      <c r="U1319" s="57"/>
      <c r="V1319" s="57"/>
      <c r="W1319" s="57"/>
      <c r="X1319" s="57"/>
      <c r="Y1319" s="98"/>
      <c r="AA1319" s="98"/>
      <c r="AR1319" s="98"/>
      <c r="AS1319" s="57"/>
      <c r="AU1319" s="57"/>
      <c r="BF1319" s="98"/>
      <c r="BG1319" s="98"/>
      <c r="BH1319" s="98"/>
      <c r="BI1319" s="98"/>
      <c r="BJ1319" s="98"/>
      <c r="BK1319" s="98"/>
      <c r="BL1319" s="98"/>
      <c r="BM1319" s="57"/>
    </row>
    <row r="1320" spans="1:65" ht="11.25" x14ac:dyDescent="0.2">
      <c r="A1320" s="57"/>
      <c r="B1320" s="57"/>
      <c r="C1320" s="57"/>
      <c r="D1320" s="57"/>
      <c r="E1320" s="57"/>
      <c r="F1320" s="57"/>
      <c r="G1320" s="57"/>
      <c r="H1320" s="57"/>
      <c r="I1320" s="57"/>
      <c r="J1320" s="57"/>
      <c r="L1320" s="57"/>
      <c r="M1320" s="57"/>
      <c r="N1320" s="57"/>
      <c r="O1320" s="57"/>
      <c r="P1320" s="57"/>
      <c r="Q1320" s="57"/>
      <c r="R1320" s="57"/>
      <c r="S1320" s="57"/>
      <c r="T1320" s="57"/>
      <c r="U1320" s="57"/>
      <c r="V1320" s="57"/>
      <c r="W1320" s="57"/>
      <c r="X1320" s="57"/>
      <c r="Y1320" s="98"/>
      <c r="AA1320" s="98"/>
      <c r="AR1320" s="98"/>
      <c r="AS1320" s="57"/>
      <c r="AU1320" s="57"/>
      <c r="BF1320" s="98"/>
      <c r="BG1320" s="98"/>
      <c r="BH1320" s="98"/>
      <c r="BI1320" s="98"/>
      <c r="BJ1320" s="98"/>
      <c r="BK1320" s="98"/>
      <c r="BL1320" s="98"/>
      <c r="BM1320" s="57"/>
    </row>
    <row r="1321" spans="1:65" ht="11.25" x14ac:dyDescent="0.2">
      <c r="A1321" s="57"/>
      <c r="B1321" s="57"/>
      <c r="C1321" s="57"/>
      <c r="D1321" s="57"/>
      <c r="E1321" s="57"/>
      <c r="F1321" s="57"/>
      <c r="G1321" s="57"/>
      <c r="H1321" s="57"/>
      <c r="I1321" s="57"/>
      <c r="J1321" s="57"/>
      <c r="L1321" s="57"/>
      <c r="M1321" s="57"/>
      <c r="N1321" s="57"/>
      <c r="O1321" s="57"/>
      <c r="P1321" s="57"/>
      <c r="Q1321" s="57"/>
      <c r="R1321" s="57"/>
      <c r="S1321" s="57"/>
      <c r="T1321" s="57"/>
      <c r="U1321" s="57"/>
      <c r="V1321" s="57"/>
      <c r="W1321" s="57"/>
      <c r="X1321" s="57"/>
      <c r="Y1321" s="98"/>
      <c r="AA1321" s="98"/>
      <c r="AR1321" s="98"/>
      <c r="AS1321" s="57"/>
      <c r="AU1321" s="57"/>
      <c r="BF1321" s="98"/>
      <c r="BG1321" s="98"/>
      <c r="BH1321" s="98"/>
      <c r="BI1321" s="98"/>
      <c r="BJ1321" s="98"/>
      <c r="BK1321" s="98"/>
      <c r="BL1321" s="98"/>
      <c r="BM1321" s="57"/>
    </row>
    <row r="1322" spans="1:65" ht="11.25" x14ac:dyDescent="0.2">
      <c r="A1322" s="57"/>
      <c r="B1322" s="57"/>
      <c r="C1322" s="57"/>
      <c r="D1322" s="57"/>
      <c r="E1322" s="57"/>
      <c r="F1322" s="57"/>
      <c r="G1322" s="57"/>
      <c r="H1322" s="57"/>
      <c r="I1322" s="57"/>
      <c r="J1322" s="57"/>
      <c r="L1322" s="57"/>
      <c r="M1322" s="57"/>
      <c r="N1322" s="57"/>
      <c r="O1322" s="57"/>
      <c r="P1322" s="57"/>
      <c r="Q1322" s="57"/>
      <c r="R1322" s="57"/>
      <c r="S1322" s="57"/>
      <c r="T1322" s="57"/>
      <c r="U1322" s="57"/>
      <c r="V1322" s="57"/>
      <c r="W1322" s="57"/>
      <c r="X1322" s="57"/>
      <c r="Y1322" s="98"/>
      <c r="AA1322" s="98"/>
      <c r="AR1322" s="98"/>
      <c r="AS1322" s="57"/>
      <c r="AU1322" s="57"/>
      <c r="BF1322" s="98"/>
      <c r="BG1322" s="98"/>
      <c r="BH1322" s="98"/>
      <c r="BI1322" s="98"/>
      <c r="BJ1322" s="98"/>
      <c r="BK1322" s="98"/>
      <c r="BL1322" s="98"/>
      <c r="BM1322" s="57"/>
    </row>
    <row r="1323" spans="1:65" ht="11.25" x14ac:dyDescent="0.2">
      <c r="A1323" s="57"/>
      <c r="B1323" s="57"/>
      <c r="C1323" s="57"/>
      <c r="D1323" s="57"/>
      <c r="E1323" s="57"/>
      <c r="F1323" s="57"/>
      <c r="G1323" s="57"/>
      <c r="H1323" s="57"/>
      <c r="I1323" s="57"/>
      <c r="J1323" s="57"/>
      <c r="L1323" s="57"/>
      <c r="M1323" s="57"/>
      <c r="N1323" s="57"/>
      <c r="O1323" s="57"/>
      <c r="P1323" s="57"/>
      <c r="Q1323" s="57"/>
      <c r="R1323" s="57"/>
      <c r="S1323" s="57"/>
      <c r="T1323" s="57"/>
      <c r="U1323" s="57"/>
      <c r="V1323" s="57"/>
      <c r="W1323" s="57"/>
      <c r="X1323" s="57"/>
      <c r="Y1323" s="98"/>
      <c r="AA1323" s="98"/>
      <c r="AR1323" s="98"/>
      <c r="AS1323" s="57"/>
      <c r="AU1323" s="57"/>
      <c r="BF1323" s="98"/>
      <c r="BG1323" s="98"/>
      <c r="BH1323" s="98"/>
      <c r="BI1323" s="98"/>
      <c r="BJ1323" s="98"/>
      <c r="BK1323" s="98"/>
      <c r="BL1323" s="98"/>
      <c r="BM1323" s="57"/>
    </row>
    <row r="1324" spans="1:65" ht="11.25" x14ac:dyDescent="0.2">
      <c r="A1324" s="57"/>
      <c r="B1324" s="57"/>
      <c r="C1324" s="57"/>
      <c r="D1324" s="57"/>
      <c r="E1324" s="57"/>
      <c r="F1324" s="57"/>
      <c r="G1324" s="57"/>
      <c r="H1324" s="57"/>
      <c r="I1324" s="57"/>
      <c r="J1324" s="57"/>
      <c r="L1324" s="57"/>
      <c r="M1324" s="57"/>
      <c r="N1324" s="57"/>
      <c r="O1324" s="57"/>
      <c r="P1324" s="57"/>
      <c r="Q1324" s="57"/>
      <c r="R1324" s="57"/>
      <c r="S1324" s="57"/>
      <c r="T1324" s="57"/>
      <c r="U1324" s="57"/>
      <c r="V1324" s="57"/>
      <c r="W1324" s="57"/>
      <c r="X1324" s="57"/>
      <c r="Y1324" s="98"/>
      <c r="AA1324" s="98"/>
      <c r="AR1324" s="98"/>
      <c r="AS1324" s="57"/>
      <c r="AU1324" s="57"/>
      <c r="BF1324" s="98"/>
      <c r="BG1324" s="98"/>
      <c r="BH1324" s="98"/>
      <c r="BI1324" s="98"/>
      <c r="BJ1324" s="98"/>
      <c r="BK1324" s="98"/>
      <c r="BL1324" s="98"/>
      <c r="BM1324" s="57"/>
    </row>
    <row r="1325" spans="1:65" ht="11.25" x14ac:dyDescent="0.2">
      <c r="A1325" s="57"/>
      <c r="B1325" s="57"/>
      <c r="C1325" s="57"/>
      <c r="D1325" s="57"/>
      <c r="E1325" s="57"/>
      <c r="F1325" s="57"/>
      <c r="G1325" s="57"/>
      <c r="H1325" s="57"/>
      <c r="I1325" s="57"/>
      <c r="J1325" s="57"/>
      <c r="L1325" s="57"/>
      <c r="M1325" s="57"/>
      <c r="N1325" s="57"/>
      <c r="O1325" s="57"/>
      <c r="P1325" s="57"/>
      <c r="Q1325" s="57"/>
      <c r="R1325" s="57"/>
      <c r="S1325" s="57"/>
      <c r="T1325" s="57"/>
      <c r="U1325" s="57"/>
      <c r="V1325" s="57"/>
      <c r="W1325" s="57"/>
      <c r="X1325" s="57"/>
      <c r="Y1325" s="98"/>
      <c r="AA1325" s="98"/>
      <c r="AR1325" s="98"/>
      <c r="AS1325" s="57"/>
      <c r="AU1325" s="57"/>
      <c r="BF1325" s="98"/>
      <c r="BG1325" s="98"/>
      <c r="BH1325" s="98"/>
      <c r="BI1325" s="98"/>
      <c r="BJ1325" s="98"/>
      <c r="BK1325" s="98"/>
      <c r="BL1325" s="98"/>
      <c r="BM1325" s="57"/>
    </row>
    <row r="1326" spans="1:65" ht="11.25" x14ac:dyDescent="0.2">
      <c r="A1326" s="57"/>
      <c r="B1326" s="57"/>
      <c r="C1326" s="57"/>
      <c r="D1326" s="57"/>
      <c r="E1326" s="57"/>
      <c r="F1326" s="57"/>
      <c r="G1326" s="57"/>
      <c r="H1326" s="57"/>
      <c r="I1326" s="57"/>
      <c r="J1326" s="57"/>
      <c r="L1326" s="57"/>
      <c r="M1326" s="57"/>
      <c r="N1326" s="57"/>
      <c r="O1326" s="57"/>
      <c r="P1326" s="57"/>
      <c r="Q1326" s="57"/>
      <c r="R1326" s="57"/>
      <c r="S1326" s="57"/>
      <c r="T1326" s="57"/>
      <c r="U1326" s="57"/>
      <c r="V1326" s="57"/>
      <c r="W1326" s="57"/>
      <c r="X1326" s="57"/>
      <c r="Y1326" s="98"/>
      <c r="AA1326" s="98"/>
      <c r="AR1326" s="98"/>
      <c r="AS1326" s="57"/>
      <c r="AU1326" s="57"/>
      <c r="BF1326" s="98"/>
      <c r="BG1326" s="98"/>
      <c r="BH1326" s="98"/>
      <c r="BI1326" s="98"/>
      <c r="BJ1326" s="98"/>
      <c r="BK1326" s="98"/>
      <c r="BL1326" s="98"/>
      <c r="BM1326" s="57"/>
    </row>
    <row r="1327" spans="1:65" ht="11.25" x14ac:dyDescent="0.2">
      <c r="A1327" s="57"/>
      <c r="B1327" s="57"/>
      <c r="C1327" s="57"/>
      <c r="D1327" s="57"/>
      <c r="E1327" s="57"/>
      <c r="F1327" s="57"/>
      <c r="G1327" s="57"/>
      <c r="H1327" s="57"/>
      <c r="I1327" s="57"/>
      <c r="J1327" s="57"/>
      <c r="L1327" s="57"/>
      <c r="M1327" s="57"/>
      <c r="N1327" s="57"/>
      <c r="O1327" s="57"/>
      <c r="P1327" s="57"/>
      <c r="Q1327" s="57"/>
      <c r="R1327" s="57"/>
      <c r="S1327" s="57"/>
      <c r="T1327" s="57"/>
      <c r="U1327" s="57"/>
      <c r="V1327" s="57"/>
      <c r="W1327" s="57"/>
      <c r="X1327" s="57"/>
      <c r="Y1327" s="98"/>
      <c r="AA1327" s="98"/>
      <c r="AR1327" s="98"/>
      <c r="AS1327" s="57"/>
      <c r="AU1327" s="57"/>
      <c r="BF1327" s="98"/>
      <c r="BG1327" s="98"/>
      <c r="BH1327" s="98"/>
      <c r="BI1327" s="98"/>
      <c r="BJ1327" s="98"/>
      <c r="BK1327" s="98"/>
      <c r="BL1327" s="98"/>
      <c r="BM1327" s="57"/>
    </row>
    <row r="1328" spans="1:65" ht="11.25" x14ac:dyDescent="0.2">
      <c r="A1328" s="57"/>
      <c r="B1328" s="57"/>
      <c r="C1328" s="57"/>
      <c r="D1328" s="57"/>
      <c r="E1328" s="57"/>
      <c r="F1328" s="57"/>
      <c r="G1328" s="57"/>
      <c r="H1328" s="57"/>
      <c r="I1328" s="57"/>
      <c r="J1328" s="57"/>
      <c r="L1328" s="57"/>
      <c r="M1328" s="57"/>
      <c r="N1328" s="57"/>
      <c r="O1328" s="57"/>
      <c r="P1328" s="57"/>
      <c r="Q1328" s="57"/>
      <c r="R1328" s="57"/>
      <c r="S1328" s="57"/>
      <c r="T1328" s="57"/>
      <c r="U1328" s="57"/>
      <c r="V1328" s="57"/>
      <c r="W1328" s="57"/>
      <c r="X1328" s="57"/>
      <c r="Y1328" s="98"/>
      <c r="AA1328" s="98"/>
      <c r="AR1328" s="98"/>
      <c r="AS1328" s="57"/>
      <c r="AU1328" s="57"/>
      <c r="BF1328" s="98"/>
      <c r="BG1328" s="98"/>
      <c r="BH1328" s="98"/>
      <c r="BI1328" s="98"/>
      <c r="BJ1328" s="98"/>
      <c r="BK1328" s="98"/>
      <c r="BL1328" s="98"/>
      <c r="BM1328" s="57"/>
    </row>
    <row r="1329" spans="1:65" ht="11.25" x14ac:dyDescent="0.2">
      <c r="A1329" s="57"/>
      <c r="B1329" s="57"/>
      <c r="C1329" s="57"/>
      <c r="D1329" s="57"/>
      <c r="E1329" s="57"/>
      <c r="F1329" s="57"/>
      <c r="G1329" s="57"/>
      <c r="H1329" s="57"/>
      <c r="I1329" s="57"/>
      <c r="J1329" s="57"/>
      <c r="L1329" s="57"/>
      <c r="M1329" s="57"/>
      <c r="N1329" s="57"/>
      <c r="O1329" s="57"/>
      <c r="P1329" s="57"/>
      <c r="Q1329" s="57"/>
      <c r="R1329" s="57"/>
      <c r="S1329" s="57"/>
      <c r="T1329" s="57"/>
      <c r="U1329" s="57"/>
      <c r="V1329" s="57"/>
      <c r="W1329" s="57"/>
      <c r="X1329" s="57"/>
      <c r="Y1329" s="98"/>
      <c r="AA1329" s="98"/>
      <c r="AR1329" s="98"/>
      <c r="AS1329" s="57"/>
      <c r="AU1329" s="57"/>
      <c r="BF1329" s="98"/>
      <c r="BG1329" s="98"/>
      <c r="BH1329" s="98"/>
      <c r="BI1329" s="98"/>
      <c r="BJ1329" s="98"/>
      <c r="BK1329" s="98"/>
      <c r="BL1329" s="98"/>
      <c r="BM1329" s="57"/>
    </row>
    <row r="1330" spans="1:65" ht="11.25" x14ac:dyDescent="0.2">
      <c r="A1330" s="57"/>
      <c r="B1330" s="57"/>
      <c r="C1330" s="57"/>
      <c r="D1330" s="57"/>
      <c r="E1330" s="57"/>
      <c r="F1330" s="57"/>
      <c r="G1330" s="57"/>
      <c r="H1330" s="57"/>
      <c r="I1330" s="57"/>
      <c r="J1330" s="57"/>
      <c r="L1330" s="57"/>
      <c r="M1330" s="57"/>
      <c r="N1330" s="57"/>
      <c r="O1330" s="57"/>
      <c r="P1330" s="57"/>
      <c r="Q1330" s="57"/>
      <c r="R1330" s="57"/>
      <c r="S1330" s="57"/>
      <c r="T1330" s="57"/>
      <c r="U1330" s="57"/>
      <c r="V1330" s="57"/>
      <c r="W1330" s="57"/>
      <c r="X1330" s="57"/>
      <c r="Y1330" s="98"/>
      <c r="AA1330" s="98"/>
      <c r="AR1330" s="98"/>
      <c r="AS1330" s="57"/>
      <c r="AU1330" s="57"/>
      <c r="BF1330" s="98"/>
      <c r="BG1330" s="98"/>
      <c r="BH1330" s="98"/>
      <c r="BI1330" s="98"/>
      <c r="BJ1330" s="98"/>
      <c r="BK1330" s="98"/>
      <c r="BL1330" s="98"/>
      <c r="BM1330" s="57"/>
    </row>
    <row r="1331" spans="1:65" ht="11.25" x14ac:dyDescent="0.2">
      <c r="A1331" s="57"/>
      <c r="B1331" s="57"/>
      <c r="C1331" s="57"/>
      <c r="D1331" s="57"/>
      <c r="E1331" s="57"/>
      <c r="F1331" s="57"/>
      <c r="G1331" s="57"/>
      <c r="H1331" s="57"/>
      <c r="I1331" s="57"/>
      <c r="J1331" s="57"/>
      <c r="L1331" s="57"/>
      <c r="M1331" s="57"/>
      <c r="N1331" s="57"/>
      <c r="O1331" s="57"/>
      <c r="P1331" s="57"/>
      <c r="Q1331" s="57"/>
      <c r="R1331" s="57"/>
      <c r="S1331" s="57"/>
      <c r="T1331" s="57"/>
      <c r="U1331" s="57"/>
      <c r="V1331" s="57"/>
      <c r="W1331" s="57"/>
      <c r="X1331" s="57"/>
      <c r="Y1331" s="98"/>
      <c r="AA1331" s="98"/>
      <c r="AR1331" s="98"/>
      <c r="AS1331" s="57"/>
      <c r="AU1331" s="57"/>
      <c r="BF1331" s="98"/>
      <c r="BG1331" s="98"/>
      <c r="BH1331" s="98"/>
      <c r="BI1331" s="98"/>
      <c r="BJ1331" s="98"/>
      <c r="BK1331" s="98"/>
      <c r="BL1331" s="98"/>
      <c r="BM1331" s="57"/>
    </row>
    <row r="1332" spans="1:65" ht="11.25" x14ac:dyDescent="0.2">
      <c r="A1332" s="57"/>
      <c r="B1332" s="57"/>
      <c r="C1332" s="57"/>
      <c r="D1332" s="57"/>
      <c r="E1332" s="57"/>
      <c r="F1332" s="57"/>
      <c r="G1332" s="57"/>
      <c r="H1332" s="57"/>
      <c r="I1332" s="57"/>
      <c r="J1332" s="57"/>
      <c r="L1332" s="57"/>
      <c r="M1332" s="57"/>
      <c r="N1332" s="57"/>
      <c r="O1332" s="57"/>
      <c r="P1332" s="57"/>
      <c r="Q1332" s="57"/>
      <c r="R1332" s="57"/>
      <c r="S1332" s="57"/>
      <c r="T1332" s="57"/>
      <c r="U1332" s="57"/>
      <c r="V1332" s="57"/>
      <c r="W1332" s="57"/>
      <c r="X1332" s="57"/>
      <c r="Y1332" s="98"/>
      <c r="AA1332" s="98"/>
      <c r="AR1332" s="98"/>
      <c r="AS1332" s="57"/>
      <c r="AU1332" s="57"/>
      <c r="BF1332" s="98"/>
      <c r="BG1332" s="98"/>
      <c r="BH1332" s="98"/>
      <c r="BI1332" s="98"/>
      <c r="BJ1332" s="98"/>
      <c r="BK1332" s="98"/>
      <c r="BL1332" s="98"/>
      <c r="BM1332" s="57"/>
    </row>
    <row r="1333" spans="1:65" ht="11.25" x14ac:dyDescent="0.2">
      <c r="A1333" s="57"/>
      <c r="B1333" s="57"/>
      <c r="C1333" s="57"/>
      <c r="D1333" s="57"/>
      <c r="E1333" s="57"/>
      <c r="F1333" s="57"/>
      <c r="G1333" s="57"/>
      <c r="H1333" s="57"/>
      <c r="I1333" s="57"/>
      <c r="J1333" s="57"/>
      <c r="L1333" s="57"/>
      <c r="M1333" s="57"/>
      <c r="N1333" s="57"/>
      <c r="O1333" s="57"/>
      <c r="P1333" s="57"/>
      <c r="Q1333" s="57"/>
      <c r="R1333" s="57"/>
      <c r="S1333" s="57"/>
      <c r="T1333" s="57"/>
      <c r="U1333" s="57"/>
      <c r="V1333" s="57"/>
      <c r="W1333" s="57"/>
      <c r="X1333" s="57"/>
      <c r="Y1333" s="98"/>
      <c r="AA1333" s="98"/>
      <c r="AR1333" s="98"/>
      <c r="AS1333" s="57"/>
      <c r="AU1333" s="57"/>
      <c r="BF1333" s="98"/>
      <c r="BG1333" s="98"/>
      <c r="BH1333" s="98"/>
      <c r="BI1333" s="98"/>
      <c r="BJ1333" s="98"/>
      <c r="BK1333" s="98"/>
      <c r="BL1333" s="98"/>
      <c r="BM1333" s="57"/>
    </row>
    <row r="1334" spans="1:65" ht="11.25" x14ac:dyDescent="0.2">
      <c r="A1334" s="57"/>
      <c r="B1334" s="57"/>
      <c r="C1334" s="57"/>
      <c r="D1334" s="57"/>
      <c r="E1334" s="57"/>
      <c r="F1334" s="57"/>
      <c r="G1334" s="57"/>
      <c r="H1334" s="57"/>
      <c r="I1334" s="57"/>
      <c r="J1334" s="57"/>
      <c r="L1334" s="57"/>
      <c r="M1334" s="57"/>
      <c r="N1334" s="57"/>
      <c r="O1334" s="57"/>
      <c r="P1334" s="57"/>
      <c r="Q1334" s="57"/>
      <c r="R1334" s="57"/>
      <c r="S1334" s="57"/>
      <c r="T1334" s="57"/>
      <c r="U1334" s="57"/>
      <c r="V1334" s="57"/>
      <c r="W1334" s="57"/>
      <c r="X1334" s="57"/>
      <c r="Y1334" s="98"/>
      <c r="AA1334" s="98"/>
      <c r="AR1334" s="98"/>
      <c r="AS1334" s="57"/>
      <c r="AU1334" s="57"/>
      <c r="BF1334" s="98"/>
      <c r="BG1334" s="98"/>
      <c r="BH1334" s="98"/>
      <c r="BI1334" s="98"/>
      <c r="BJ1334" s="98"/>
      <c r="BK1334" s="98"/>
      <c r="BL1334" s="98"/>
      <c r="BM1334" s="57"/>
    </row>
    <row r="1335" spans="1:65" ht="11.25" x14ac:dyDescent="0.2">
      <c r="A1335" s="57"/>
      <c r="B1335" s="57"/>
      <c r="C1335" s="57"/>
      <c r="D1335" s="57"/>
      <c r="E1335" s="57"/>
      <c r="F1335" s="57"/>
      <c r="G1335" s="57"/>
      <c r="H1335" s="57"/>
      <c r="I1335" s="57"/>
      <c r="J1335" s="57"/>
      <c r="L1335" s="57"/>
      <c r="M1335" s="57"/>
      <c r="N1335" s="57"/>
      <c r="O1335" s="57"/>
      <c r="P1335" s="57"/>
      <c r="Q1335" s="57"/>
      <c r="R1335" s="57"/>
      <c r="S1335" s="57"/>
      <c r="T1335" s="57"/>
      <c r="U1335" s="57"/>
      <c r="V1335" s="57"/>
      <c r="W1335" s="57"/>
      <c r="X1335" s="57"/>
      <c r="Y1335" s="98"/>
      <c r="AA1335" s="98"/>
      <c r="AR1335" s="98"/>
      <c r="AS1335" s="57"/>
      <c r="AU1335" s="57"/>
      <c r="BF1335" s="98"/>
      <c r="BG1335" s="98"/>
      <c r="BH1335" s="98"/>
      <c r="BI1335" s="98"/>
      <c r="BJ1335" s="98"/>
      <c r="BK1335" s="98"/>
      <c r="BL1335" s="98"/>
      <c r="BM1335" s="57"/>
    </row>
    <row r="1336" spans="1:65" ht="11.25" x14ac:dyDescent="0.2">
      <c r="A1336" s="57"/>
      <c r="B1336" s="57"/>
      <c r="C1336" s="57"/>
      <c r="D1336" s="57"/>
      <c r="E1336" s="57"/>
      <c r="F1336" s="57"/>
      <c r="G1336" s="57"/>
      <c r="H1336" s="57"/>
      <c r="I1336" s="57"/>
      <c r="J1336" s="57"/>
      <c r="L1336" s="57"/>
      <c r="M1336" s="57"/>
      <c r="N1336" s="57"/>
      <c r="O1336" s="57"/>
      <c r="P1336" s="57"/>
      <c r="Q1336" s="57"/>
      <c r="R1336" s="57"/>
      <c r="S1336" s="57"/>
      <c r="T1336" s="57"/>
      <c r="U1336" s="57"/>
      <c r="V1336" s="57"/>
      <c r="W1336" s="57"/>
      <c r="X1336" s="57"/>
      <c r="Y1336" s="98"/>
      <c r="AA1336" s="98"/>
      <c r="AR1336" s="98"/>
      <c r="AS1336" s="57"/>
      <c r="AU1336" s="57"/>
      <c r="BF1336" s="98"/>
      <c r="BG1336" s="98"/>
      <c r="BH1336" s="98"/>
      <c r="BI1336" s="98"/>
      <c r="BJ1336" s="98"/>
      <c r="BK1336" s="98"/>
      <c r="BL1336" s="98"/>
      <c r="BM1336" s="57"/>
    </row>
    <row r="1337" spans="1:65" ht="11.25" x14ac:dyDescent="0.2">
      <c r="A1337" s="57"/>
      <c r="B1337" s="57"/>
      <c r="C1337" s="57"/>
      <c r="D1337" s="57"/>
      <c r="E1337" s="57"/>
      <c r="F1337" s="57"/>
      <c r="G1337" s="57"/>
      <c r="H1337" s="57"/>
      <c r="I1337" s="57"/>
      <c r="J1337" s="57"/>
      <c r="L1337" s="57"/>
      <c r="M1337" s="57"/>
      <c r="N1337" s="57"/>
      <c r="O1337" s="57"/>
      <c r="P1337" s="57"/>
      <c r="Q1337" s="57"/>
      <c r="R1337" s="57"/>
      <c r="S1337" s="57"/>
      <c r="T1337" s="57"/>
      <c r="U1337" s="57"/>
      <c r="V1337" s="57"/>
      <c r="W1337" s="57"/>
      <c r="X1337" s="57"/>
      <c r="Y1337" s="98"/>
      <c r="AA1337" s="98"/>
      <c r="AR1337" s="98"/>
      <c r="AS1337" s="57"/>
      <c r="AU1337" s="57"/>
      <c r="BF1337" s="98"/>
      <c r="BG1337" s="98"/>
      <c r="BH1337" s="98"/>
      <c r="BI1337" s="98"/>
      <c r="BJ1337" s="98"/>
      <c r="BK1337" s="98"/>
      <c r="BL1337" s="98"/>
      <c r="BM1337" s="57"/>
    </row>
    <row r="1338" spans="1:65" ht="11.25" x14ac:dyDescent="0.2">
      <c r="A1338" s="57"/>
      <c r="B1338" s="57"/>
      <c r="C1338" s="57"/>
      <c r="D1338" s="57"/>
      <c r="E1338" s="57"/>
      <c r="F1338" s="57"/>
      <c r="G1338" s="57"/>
      <c r="H1338" s="57"/>
      <c r="I1338" s="57"/>
      <c r="J1338" s="57"/>
      <c r="L1338" s="57"/>
      <c r="M1338" s="57"/>
      <c r="N1338" s="57"/>
      <c r="O1338" s="57"/>
      <c r="P1338" s="57"/>
      <c r="Q1338" s="57"/>
      <c r="R1338" s="57"/>
      <c r="S1338" s="57"/>
      <c r="T1338" s="57"/>
      <c r="U1338" s="57"/>
      <c r="V1338" s="57"/>
      <c r="W1338" s="57"/>
      <c r="X1338" s="57"/>
      <c r="Y1338" s="98"/>
      <c r="AA1338" s="98"/>
      <c r="AR1338" s="98"/>
      <c r="AS1338" s="57"/>
      <c r="AU1338" s="57"/>
      <c r="BF1338" s="98"/>
      <c r="BG1338" s="98"/>
      <c r="BH1338" s="98"/>
      <c r="BI1338" s="98"/>
      <c r="BJ1338" s="98"/>
      <c r="BK1338" s="98"/>
      <c r="BL1338" s="98"/>
      <c r="BM1338" s="57"/>
    </row>
    <row r="1339" spans="1:65" ht="11.25" x14ac:dyDescent="0.2">
      <c r="A1339" s="57"/>
      <c r="B1339" s="57"/>
      <c r="C1339" s="57"/>
      <c r="D1339" s="57"/>
      <c r="E1339" s="57"/>
      <c r="F1339" s="57"/>
      <c r="G1339" s="57"/>
      <c r="H1339" s="57"/>
      <c r="I1339" s="57"/>
      <c r="J1339" s="57"/>
      <c r="L1339" s="57"/>
      <c r="M1339" s="57"/>
      <c r="N1339" s="57"/>
      <c r="O1339" s="57"/>
      <c r="P1339" s="57"/>
      <c r="Q1339" s="57"/>
      <c r="R1339" s="57"/>
      <c r="S1339" s="57"/>
      <c r="T1339" s="57"/>
      <c r="U1339" s="57"/>
      <c r="V1339" s="57"/>
      <c r="W1339" s="57"/>
      <c r="X1339" s="57"/>
      <c r="Y1339" s="98"/>
      <c r="AA1339" s="98"/>
      <c r="AR1339" s="98"/>
      <c r="AS1339" s="57"/>
      <c r="AU1339" s="57"/>
      <c r="BF1339" s="98"/>
      <c r="BG1339" s="98"/>
      <c r="BH1339" s="98"/>
      <c r="BI1339" s="98"/>
      <c r="BJ1339" s="98"/>
      <c r="BK1339" s="98"/>
      <c r="BL1339" s="98"/>
      <c r="BM1339" s="57"/>
    </row>
    <row r="1340" spans="1:65" ht="11.25" x14ac:dyDescent="0.2">
      <c r="A1340" s="57"/>
      <c r="B1340" s="57"/>
      <c r="C1340" s="57"/>
      <c r="D1340" s="57"/>
      <c r="E1340" s="57"/>
      <c r="F1340" s="57"/>
      <c r="G1340" s="57"/>
      <c r="H1340" s="57"/>
      <c r="I1340" s="57"/>
      <c r="J1340" s="57"/>
      <c r="L1340" s="57"/>
      <c r="M1340" s="57"/>
      <c r="N1340" s="57"/>
      <c r="O1340" s="57"/>
      <c r="P1340" s="57"/>
      <c r="Q1340" s="57"/>
      <c r="R1340" s="57"/>
      <c r="S1340" s="57"/>
      <c r="T1340" s="57"/>
      <c r="U1340" s="57"/>
      <c r="V1340" s="57"/>
      <c r="W1340" s="57"/>
      <c r="X1340" s="57"/>
      <c r="Y1340" s="98"/>
      <c r="AA1340" s="98"/>
      <c r="AR1340" s="98"/>
      <c r="AS1340" s="57"/>
      <c r="AU1340" s="57"/>
      <c r="BF1340" s="98"/>
      <c r="BG1340" s="98"/>
      <c r="BH1340" s="98"/>
      <c r="BI1340" s="98"/>
      <c r="BJ1340" s="98"/>
      <c r="BK1340" s="98"/>
      <c r="BL1340" s="98"/>
      <c r="BM1340" s="57"/>
    </row>
    <row r="1341" spans="1:65" ht="11.25" x14ac:dyDescent="0.2">
      <c r="A1341" s="57"/>
      <c r="B1341" s="57"/>
      <c r="C1341" s="57"/>
      <c r="D1341" s="57"/>
      <c r="E1341" s="57"/>
      <c r="F1341" s="57"/>
      <c r="G1341" s="57"/>
      <c r="H1341" s="57"/>
      <c r="I1341" s="57"/>
      <c r="J1341" s="57"/>
      <c r="L1341" s="57"/>
      <c r="M1341" s="57"/>
      <c r="N1341" s="57"/>
      <c r="O1341" s="57"/>
      <c r="P1341" s="57"/>
      <c r="Q1341" s="57"/>
      <c r="R1341" s="57"/>
      <c r="S1341" s="57"/>
      <c r="T1341" s="57"/>
      <c r="U1341" s="57"/>
      <c r="V1341" s="57"/>
      <c r="W1341" s="57"/>
      <c r="X1341" s="57"/>
      <c r="Y1341" s="98"/>
      <c r="AA1341" s="98"/>
      <c r="AR1341" s="98"/>
      <c r="AS1341" s="57"/>
      <c r="AU1341" s="57"/>
      <c r="BF1341" s="98"/>
      <c r="BG1341" s="98"/>
      <c r="BH1341" s="98"/>
      <c r="BI1341" s="98"/>
      <c r="BJ1341" s="98"/>
      <c r="BK1341" s="98"/>
      <c r="BL1341" s="98"/>
      <c r="BM1341" s="57"/>
    </row>
    <row r="1342" spans="1:65" ht="11.25" x14ac:dyDescent="0.2">
      <c r="A1342" s="57"/>
      <c r="B1342" s="57"/>
      <c r="C1342" s="57"/>
      <c r="D1342" s="57"/>
      <c r="E1342" s="57"/>
      <c r="F1342" s="57"/>
      <c r="G1342" s="57"/>
      <c r="H1342" s="57"/>
      <c r="I1342" s="57"/>
      <c r="J1342" s="57"/>
      <c r="L1342" s="57"/>
      <c r="M1342" s="57"/>
      <c r="N1342" s="57"/>
      <c r="O1342" s="57"/>
      <c r="P1342" s="57"/>
      <c r="Q1342" s="57"/>
      <c r="R1342" s="57"/>
      <c r="S1342" s="57"/>
      <c r="T1342" s="57"/>
      <c r="U1342" s="57"/>
      <c r="V1342" s="57"/>
      <c r="W1342" s="57"/>
      <c r="X1342" s="57"/>
      <c r="Y1342" s="98"/>
      <c r="AA1342" s="98"/>
      <c r="AR1342" s="98"/>
      <c r="AS1342" s="57"/>
      <c r="AU1342" s="57"/>
      <c r="BF1342" s="98"/>
      <c r="BG1342" s="98"/>
      <c r="BH1342" s="98"/>
      <c r="BI1342" s="98"/>
      <c r="BJ1342" s="98"/>
      <c r="BK1342" s="98"/>
      <c r="BL1342" s="98"/>
      <c r="BM1342" s="57"/>
    </row>
    <row r="1343" spans="1:65" ht="11.25" x14ac:dyDescent="0.2">
      <c r="A1343" s="57"/>
      <c r="B1343" s="57"/>
      <c r="C1343" s="57"/>
      <c r="D1343" s="57"/>
      <c r="E1343" s="57"/>
      <c r="F1343" s="57"/>
      <c r="G1343" s="57"/>
      <c r="H1343" s="57"/>
      <c r="I1343" s="57"/>
      <c r="J1343" s="57"/>
      <c r="L1343" s="57"/>
      <c r="M1343" s="57"/>
      <c r="N1343" s="57"/>
      <c r="O1343" s="57"/>
      <c r="P1343" s="57"/>
      <c r="Q1343" s="57"/>
      <c r="R1343" s="57"/>
      <c r="S1343" s="57"/>
      <c r="T1343" s="57"/>
      <c r="U1343" s="57"/>
      <c r="V1343" s="57"/>
      <c r="W1343" s="57"/>
      <c r="X1343" s="57"/>
      <c r="Y1343" s="98"/>
      <c r="AA1343" s="98"/>
      <c r="AR1343" s="98"/>
      <c r="AS1343" s="57"/>
      <c r="AU1343" s="57"/>
      <c r="BF1343" s="98"/>
      <c r="BG1343" s="98"/>
      <c r="BH1343" s="98"/>
      <c r="BI1343" s="98"/>
      <c r="BJ1343" s="98"/>
      <c r="BK1343" s="98"/>
      <c r="BL1343" s="98"/>
      <c r="BM1343" s="57"/>
    </row>
    <row r="1344" spans="1:65" ht="11.25" x14ac:dyDescent="0.2">
      <c r="A1344" s="57"/>
      <c r="B1344" s="57"/>
      <c r="C1344" s="57"/>
      <c r="D1344" s="57"/>
      <c r="E1344" s="57"/>
      <c r="F1344" s="57"/>
      <c r="G1344" s="57"/>
      <c r="H1344" s="57"/>
      <c r="I1344" s="57"/>
      <c r="J1344" s="57"/>
      <c r="L1344" s="57"/>
      <c r="M1344" s="57"/>
      <c r="N1344" s="57"/>
      <c r="O1344" s="57"/>
      <c r="P1344" s="57"/>
      <c r="Q1344" s="57"/>
      <c r="R1344" s="57"/>
      <c r="S1344" s="57"/>
      <c r="T1344" s="57"/>
      <c r="U1344" s="57"/>
      <c r="V1344" s="57"/>
      <c r="W1344" s="57"/>
      <c r="X1344" s="57"/>
      <c r="Y1344" s="98"/>
      <c r="AA1344" s="98"/>
      <c r="AR1344" s="98"/>
      <c r="AS1344" s="57"/>
      <c r="AU1344" s="57"/>
      <c r="BF1344" s="98"/>
      <c r="BG1344" s="98"/>
      <c r="BH1344" s="98"/>
      <c r="BI1344" s="98"/>
      <c r="BJ1344" s="98"/>
      <c r="BK1344" s="98"/>
      <c r="BL1344" s="98"/>
      <c r="BM1344" s="57"/>
    </row>
    <row r="1345" spans="1:65" ht="11.25" x14ac:dyDescent="0.2">
      <c r="A1345" s="57"/>
      <c r="B1345" s="57"/>
      <c r="C1345" s="57"/>
      <c r="D1345" s="57"/>
      <c r="E1345" s="57"/>
      <c r="F1345" s="57"/>
      <c r="G1345" s="57"/>
      <c r="H1345" s="57"/>
      <c r="I1345" s="57"/>
      <c r="J1345" s="57"/>
      <c r="L1345" s="57"/>
      <c r="M1345" s="57"/>
      <c r="N1345" s="57"/>
      <c r="O1345" s="57"/>
      <c r="P1345" s="57"/>
      <c r="Q1345" s="57"/>
      <c r="R1345" s="57"/>
      <c r="S1345" s="57"/>
      <c r="T1345" s="57"/>
      <c r="U1345" s="57"/>
      <c r="V1345" s="57"/>
      <c r="W1345" s="57"/>
      <c r="X1345" s="57"/>
      <c r="Y1345" s="98"/>
      <c r="AA1345" s="98"/>
      <c r="AR1345" s="98"/>
      <c r="AS1345" s="57"/>
      <c r="AU1345" s="57"/>
      <c r="BF1345" s="98"/>
      <c r="BG1345" s="98"/>
      <c r="BH1345" s="98"/>
      <c r="BI1345" s="98"/>
      <c r="BJ1345" s="98"/>
      <c r="BK1345" s="98"/>
      <c r="BL1345" s="98"/>
      <c r="BM1345" s="57"/>
    </row>
    <row r="1346" spans="1:65" ht="11.25" x14ac:dyDescent="0.2">
      <c r="A1346" s="57"/>
      <c r="B1346" s="57"/>
      <c r="C1346" s="57"/>
      <c r="D1346" s="57"/>
      <c r="E1346" s="57"/>
      <c r="F1346" s="57"/>
      <c r="G1346" s="57"/>
      <c r="H1346" s="57"/>
      <c r="I1346" s="57"/>
      <c r="J1346" s="57"/>
      <c r="L1346" s="57"/>
      <c r="M1346" s="57"/>
      <c r="N1346" s="57"/>
      <c r="O1346" s="57"/>
      <c r="P1346" s="57"/>
      <c r="Q1346" s="57"/>
      <c r="R1346" s="57"/>
      <c r="S1346" s="57"/>
      <c r="T1346" s="57"/>
      <c r="U1346" s="57"/>
      <c r="V1346" s="57"/>
      <c r="W1346" s="57"/>
      <c r="X1346" s="57"/>
      <c r="Y1346" s="98"/>
      <c r="AA1346" s="98"/>
      <c r="AR1346" s="98"/>
      <c r="AS1346" s="57"/>
      <c r="AU1346" s="57"/>
      <c r="BF1346" s="98"/>
      <c r="BG1346" s="98"/>
      <c r="BH1346" s="98"/>
      <c r="BI1346" s="98"/>
      <c r="BJ1346" s="98"/>
      <c r="BK1346" s="98"/>
      <c r="BL1346" s="98"/>
      <c r="BM1346" s="57"/>
    </row>
    <row r="1347" spans="1:65" ht="11.25" x14ac:dyDescent="0.2">
      <c r="A1347" s="57"/>
      <c r="B1347" s="57"/>
      <c r="C1347" s="57"/>
      <c r="D1347" s="57"/>
      <c r="E1347" s="57"/>
      <c r="F1347" s="57"/>
      <c r="G1347" s="57"/>
      <c r="H1347" s="57"/>
      <c r="I1347" s="57"/>
      <c r="J1347" s="57"/>
      <c r="L1347" s="57"/>
      <c r="M1347" s="57"/>
      <c r="N1347" s="57"/>
      <c r="O1347" s="57"/>
      <c r="P1347" s="57"/>
      <c r="Q1347" s="57"/>
      <c r="R1347" s="57"/>
      <c r="S1347" s="57"/>
      <c r="T1347" s="57"/>
      <c r="U1347" s="57"/>
      <c r="V1347" s="57"/>
      <c r="W1347" s="57"/>
      <c r="X1347" s="57"/>
      <c r="Y1347" s="98"/>
      <c r="AA1347" s="98"/>
      <c r="AR1347" s="98"/>
      <c r="AS1347" s="57"/>
      <c r="AU1347" s="57"/>
      <c r="BF1347" s="98"/>
      <c r="BG1347" s="98"/>
      <c r="BH1347" s="98"/>
      <c r="BI1347" s="98"/>
      <c r="BJ1347" s="98"/>
      <c r="BK1347" s="98"/>
      <c r="BL1347" s="98"/>
      <c r="BM1347" s="57"/>
    </row>
    <row r="1348" spans="1:65" ht="11.25" x14ac:dyDescent="0.2">
      <c r="A1348" s="57"/>
      <c r="B1348" s="57"/>
      <c r="C1348" s="57"/>
      <c r="D1348" s="57"/>
      <c r="E1348" s="57"/>
      <c r="F1348" s="57"/>
      <c r="G1348" s="57"/>
      <c r="H1348" s="57"/>
      <c r="I1348" s="57"/>
      <c r="J1348" s="57"/>
      <c r="L1348" s="57"/>
      <c r="M1348" s="57"/>
      <c r="N1348" s="57"/>
      <c r="O1348" s="57"/>
      <c r="P1348" s="57"/>
      <c r="Q1348" s="57"/>
      <c r="R1348" s="57"/>
      <c r="S1348" s="57"/>
      <c r="T1348" s="57"/>
      <c r="U1348" s="57"/>
      <c r="V1348" s="57"/>
      <c r="W1348" s="57"/>
      <c r="X1348" s="57"/>
      <c r="Y1348" s="98"/>
      <c r="AA1348" s="98"/>
      <c r="AR1348" s="98"/>
      <c r="AS1348" s="57"/>
      <c r="AU1348" s="57"/>
      <c r="BF1348" s="98"/>
      <c r="BG1348" s="98"/>
      <c r="BH1348" s="98"/>
      <c r="BI1348" s="98"/>
      <c r="BJ1348" s="98"/>
      <c r="BK1348" s="98"/>
      <c r="BL1348" s="98"/>
      <c r="BM1348" s="57"/>
    </row>
    <row r="1349" spans="1:65" ht="11.25" x14ac:dyDescent="0.2">
      <c r="A1349" s="57"/>
      <c r="B1349" s="57"/>
      <c r="C1349" s="57"/>
      <c r="D1349" s="57"/>
      <c r="E1349" s="57"/>
      <c r="F1349" s="57"/>
      <c r="G1349" s="57"/>
      <c r="H1349" s="57"/>
      <c r="I1349" s="57"/>
      <c r="J1349" s="57"/>
      <c r="L1349" s="57"/>
      <c r="M1349" s="57"/>
      <c r="N1349" s="57"/>
      <c r="O1349" s="57"/>
      <c r="P1349" s="57"/>
      <c r="Q1349" s="57"/>
      <c r="R1349" s="57"/>
      <c r="S1349" s="57"/>
      <c r="T1349" s="57"/>
      <c r="U1349" s="57"/>
      <c r="V1349" s="57"/>
      <c r="W1349" s="57"/>
      <c r="X1349" s="57"/>
      <c r="Y1349" s="98"/>
      <c r="AA1349" s="98"/>
      <c r="AR1349" s="98"/>
      <c r="AS1349" s="57"/>
      <c r="AU1349" s="57"/>
      <c r="BF1349" s="98"/>
      <c r="BG1349" s="98"/>
      <c r="BH1349" s="98"/>
      <c r="BI1349" s="98"/>
      <c r="BJ1349" s="98"/>
      <c r="BK1349" s="98"/>
      <c r="BL1349" s="98"/>
      <c r="BM1349" s="57"/>
    </row>
    <row r="1350" spans="1:65" ht="11.25" x14ac:dyDescent="0.2">
      <c r="A1350" s="57"/>
      <c r="B1350" s="57"/>
      <c r="C1350" s="57"/>
      <c r="D1350" s="57"/>
      <c r="E1350" s="57"/>
      <c r="F1350" s="57"/>
      <c r="G1350" s="57"/>
      <c r="H1350" s="57"/>
      <c r="I1350" s="57"/>
      <c r="J1350" s="57"/>
      <c r="L1350" s="57"/>
      <c r="M1350" s="57"/>
      <c r="N1350" s="57"/>
      <c r="O1350" s="57"/>
      <c r="P1350" s="57"/>
      <c r="Q1350" s="57"/>
      <c r="R1350" s="57"/>
      <c r="S1350" s="57"/>
      <c r="T1350" s="57"/>
      <c r="U1350" s="57"/>
      <c r="V1350" s="57"/>
      <c r="W1350" s="57"/>
      <c r="X1350" s="57"/>
      <c r="Y1350" s="98"/>
      <c r="AA1350" s="98"/>
      <c r="AR1350" s="98"/>
      <c r="AS1350" s="57"/>
      <c r="AU1350" s="57"/>
      <c r="BF1350" s="98"/>
      <c r="BG1350" s="98"/>
      <c r="BH1350" s="98"/>
      <c r="BI1350" s="98"/>
      <c r="BJ1350" s="98"/>
      <c r="BK1350" s="98"/>
      <c r="BL1350" s="98"/>
      <c r="BM1350" s="57"/>
    </row>
    <row r="1351" spans="1:65" ht="11.25" x14ac:dyDescent="0.2">
      <c r="A1351" s="57"/>
      <c r="B1351" s="57"/>
      <c r="C1351" s="57"/>
      <c r="D1351" s="57"/>
      <c r="E1351" s="57"/>
      <c r="F1351" s="57"/>
      <c r="G1351" s="57"/>
      <c r="H1351" s="57"/>
      <c r="I1351" s="57"/>
      <c r="J1351" s="57"/>
      <c r="L1351" s="57"/>
      <c r="M1351" s="57"/>
      <c r="N1351" s="57"/>
      <c r="O1351" s="57"/>
      <c r="P1351" s="57"/>
      <c r="Q1351" s="57"/>
      <c r="R1351" s="57"/>
      <c r="S1351" s="57"/>
      <c r="T1351" s="57"/>
      <c r="U1351" s="57"/>
      <c r="V1351" s="57"/>
      <c r="W1351" s="57"/>
      <c r="X1351" s="57"/>
      <c r="Y1351" s="98"/>
      <c r="AA1351" s="98"/>
      <c r="AR1351" s="98"/>
      <c r="AS1351" s="57"/>
      <c r="AU1351" s="57"/>
      <c r="BF1351" s="98"/>
      <c r="BG1351" s="98"/>
      <c r="BH1351" s="98"/>
      <c r="BI1351" s="98"/>
      <c r="BJ1351" s="98"/>
      <c r="BK1351" s="98"/>
      <c r="BL1351" s="98"/>
      <c r="BM1351" s="57"/>
    </row>
    <row r="1352" spans="1:65" ht="11.25" x14ac:dyDescent="0.2">
      <c r="A1352" s="57"/>
      <c r="B1352" s="57"/>
      <c r="C1352" s="57"/>
      <c r="D1352" s="57"/>
      <c r="E1352" s="57"/>
      <c r="F1352" s="57"/>
      <c r="G1352" s="57"/>
      <c r="H1352" s="57"/>
      <c r="I1352" s="57"/>
      <c r="J1352" s="57"/>
      <c r="L1352" s="57"/>
      <c r="M1352" s="57"/>
      <c r="N1352" s="57"/>
      <c r="O1352" s="57"/>
      <c r="P1352" s="57"/>
      <c r="Q1352" s="57"/>
      <c r="R1352" s="57"/>
      <c r="S1352" s="57"/>
      <c r="T1352" s="57"/>
      <c r="U1352" s="57"/>
      <c r="V1352" s="57"/>
      <c r="W1352" s="57"/>
      <c r="X1352" s="57"/>
      <c r="Y1352" s="98"/>
      <c r="AA1352" s="98"/>
      <c r="AR1352" s="98"/>
      <c r="AS1352" s="57"/>
      <c r="AU1352" s="57"/>
      <c r="BF1352" s="98"/>
      <c r="BG1352" s="98"/>
      <c r="BH1352" s="98"/>
      <c r="BI1352" s="98"/>
      <c r="BJ1352" s="98"/>
      <c r="BK1352" s="98"/>
      <c r="BL1352" s="98"/>
      <c r="BM1352" s="57"/>
    </row>
    <row r="1353" spans="1:65" ht="11.25" x14ac:dyDescent="0.2">
      <c r="A1353" s="57"/>
      <c r="B1353" s="57"/>
      <c r="C1353" s="57"/>
      <c r="D1353" s="57"/>
      <c r="E1353" s="57"/>
      <c r="F1353" s="57"/>
      <c r="G1353" s="57"/>
      <c r="H1353" s="57"/>
      <c r="I1353" s="57"/>
      <c r="J1353" s="57"/>
      <c r="L1353" s="57"/>
      <c r="M1353" s="57"/>
      <c r="N1353" s="57"/>
      <c r="O1353" s="57"/>
      <c r="P1353" s="57"/>
      <c r="Q1353" s="57"/>
      <c r="R1353" s="57"/>
      <c r="S1353" s="57"/>
      <c r="T1353" s="57"/>
      <c r="U1353" s="57"/>
      <c r="V1353" s="57"/>
      <c r="W1353" s="57"/>
      <c r="X1353" s="57"/>
      <c r="Y1353" s="98"/>
      <c r="AA1353" s="98"/>
      <c r="AR1353" s="98"/>
      <c r="AS1353" s="57"/>
      <c r="AU1353" s="57"/>
      <c r="BF1353" s="98"/>
      <c r="BG1353" s="98"/>
      <c r="BH1353" s="98"/>
      <c r="BI1353" s="98"/>
      <c r="BJ1353" s="98"/>
      <c r="BK1353" s="98"/>
      <c r="BL1353" s="98"/>
      <c r="BM1353" s="57"/>
    </row>
    <row r="1354" spans="1:65" ht="11.25" x14ac:dyDescent="0.2">
      <c r="A1354" s="57"/>
      <c r="B1354" s="57"/>
      <c r="C1354" s="57"/>
      <c r="D1354" s="57"/>
      <c r="E1354" s="57"/>
      <c r="F1354" s="57"/>
      <c r="G1354" s="57"/>
      <c r="H1354" s="57"/>
      <c r="I1354" s="57"/>
      <c r="J1354" s="57"/>
      <c r="L1354" s="57"/>
      <c r="M1354" s="57"/>
      <c r="N1354" s="57"/>
      <c r="O1354" s="57"/>
      <c r="P1354" s="57"/>
      <c r="Q1354" s="57"/>
      <c r="R1354" s="57"/>
      <c r="S1354" s="57"/>
      <c r="T1354" s="57"/>
      <c r="U1354" s="57"/>
      <c r="V1354" s="57"/>
      <c r="W1354" s="57"/>
      <c r="X1354" s="57"/>
      <c r="Y1354" s="98"/>
      <c r="AA1354" s="98"/>
      <c r="AR1354" s="98"/>
      <c r="AS1354" s="57"/>
      <c r="AU1354" s="57"/>
      <c r="BF1354" s="98"/>
      <c r="BG1354" s="98"/>
      <c r="BH1354" s="98"/>
      <c r="BI1354" s="98"/>
      <c r="BJ1354" s="98"/>
      <c r="BK1354" s="98"/>
      <c r="BL1354" s="98"/>
      <c r="BM1354" s="57"/>
    </row>
    <row r="1355" spans="1:65" ht="11.25" x14ac:dyDescent="0.2">
      <c r="A1355" s="57"/>
      <c r="B1355" s="57"/>
      <c r="C1355" s="57"/>
      <c r="D1355" s="57"/>
      <c r="E1355" s="57"/>
      <c r="F1355" s="57"/>
      <c r="G1355" s="57"/>
      <c r="H1355" s="57"/>
      <c r="I1355" s="57"/>
      <c r="J1355" s="57"/>
      <c r="L1355" s="57"/>
      <c r="M1355" s="57"/>
      <c r="N1355" s="57"/>
      <c r="O1355" s="57"/>
      <c r="P1355" s="57"/>
      <c r="Q1355" s="57"/>
      <c r="R1355" s="57"/>
      <c r="S1355" s="57"/>
      <c r="T1355" s="57"/>
      <c r="U1355" s="57"/>
      <c r="V1355" s="57"/>
      <c r="W1355" s="57"/>
      <c r="X1355" s="57"/>
      <c r="Y1355" s="98"/>
      <c r="AA1355" s="98"/>
      <c r="AR1355" s="98"/>
      <c r="AS1355" s="57"/>
      <c r="AU1355" s="57"/>
      <c r="BF1355" s="98"/>
      <c r="BG1355" s="98"/>
      <c r="BH1355" s="98"/>
      <c r="BI1355" s="98"/>
      <c r="BJ1355" s="98"/>
      <c r="BK1355" s="98"/>
      <c r="BL1355" s="98"/>
      <c r="BM1355" s="57"/>
    </row>
    <row r="1356" spans="1:65" ht="11.25" x14ac:dyDescent="0.2">
      <c r="A1356" s="57"/>
      <c r="B1356" s="57"/>
      <c r="C1356" s="57"/>
      <c r="D1356" s="57"/>
      <c r="E1356" s="57"/>
      <c r="F1356" s="57"/>
      <c r="G1356" s="57"/>
      <c r="H1356" s="57"/>
      <c r="I1356" s="57"/>
      <c r="J1356" s="57"/>
      <c r="L1356" s="57"/>
      <c r="M1356" s="57"/>
      <c r="N1356" s="57"/>
      <c r="O1356" s="57"/>
      <c r="P1356" s="57"/>
      <c r="Q1356" s="57"/>
      <c r="R1356" s="57"/>
      <c r="S1356" s="57"/>
      <c r="T1356" s="57"/>
      <c r="U1356" s="57"/>
      <c r="V1356" s="57"/>
      <c r="W1356" s="57"/>
      <c r="X1356" s="57"/>
      <c r="Y1356" s="98"/>
      <c r="AA1356" s="98"/>
      <c r="AR1356" s="98"/>
      <c r="AS1356" s="57"/>
      <c r="AU1356" s="57"/>
      <c r="BF1356" s="98"/>
      <c r="BG1356" s="98"/>
      <c r="BH1356" s="98"/>
      <c r="BI1356" s="98"/>
      <c r="BJ1356" s="98"/>
      <c r="BK1356" s="98"/>
      <c r="BL1356" s="98"/>
      <c r="BM1356" s="57"/>
    </row>
    <row r="1357" spans="1:65" ht="11.25" x14ac:dyDescent="0.2">
      <c r="A1357" s="57"/>
      <c r="B1357" s="57"/>
      <c r="C1357" s="57"/>
      <c r="D1357" s="57"/>
      <c r="E1357" s="57"/>
      <c r="F1357" s="57"/>
      <c r="G1357" s="57"/>
      <c r="H1357" s="57"/>
      <c r="I1357" s="57"/>
      <c r="J1357" s="57"/>
      <c r="L1357" s="57"/>
      <c r="M1357" s="57"/>
      <c r="N1357" s="57"/>
      <c r="O1357" s="57"/>
      <c r="P1357" s="57"/>
      <c r="Q1357" s="57"/>
      <c r="R1357" s="57"/>
      <c r="S1357" s="57"/>
      <c r="T1357" s="57"/>
      <c r="U1357" s="57"/>
      <c r="V1357" s="57"/>
      <c r="W1357" s="57"/>
      <c r="X1357" s="57"/>
      <c r="Y1357" s="98"/>
      <c r="AA1357" s="98"/>
      <c r="AR1357" s="98"/>
      <c r="AS1357" s="57"/>
      <c r="AU1357" s="57"/>
      <c r="BF1357" s="98"/>
      <c r="BG1357" s="98"/>
      <c r="BH1357" s="98"/>
      <c r="BI1357" s="98"/>
      <c r="BJ1357" s="98"/>
      <c r="BK1357" s="98"/>
      <c r="BL1357" s="98"/>
      <c r="BM1357" s="57"/>
    </row>
    <row r="1358" spans="1:65" ht="11.25" x14ac:dyDescent="0.2">
      <c r="A1358" s="57"/>
      <c r="B1358" s="57"/>
      <c r="C1358" s="57"/>
      <c r="D1358" s="57"/>
      <c r="E1358" s="57"/>
      <c r="F1358" s="57"/>
      <c r="G1358" s="57"/>
      <c r="H1358" s="57"/>
      <c r="I1358" s="57"/>
      <c r="J1358" s="57"/>
      <c r="L1358" s="57"/>
      <c r="M1358" s="57"/>
      <c r="N1358" s="57"/>
      <c r="O1358" s="57"/>
      <c r="P1358" s="57"/>
      <c r="Q1358" s="57"/>
      <c r="R1358" s="57"/>
      <c r="S1358" s="57"/>
      <c r="T1358" s="57"/>
      <c r="U1358" s="57"/>
      <c r="V1358" s="57"/>
      <c r="W1358" s="57"/>
      <c r="X1358" s="57"/>
      <c r="Y1358" s="98"/>
      <c r="AA1358" s="98"/>
      <c r="AR1358" s="98"/>
      <c r="AS1358" s="57"/>
      <c r="AU1358" s="57"/>
      <c r="BF1358" s="98"/>
      <c r="BG1358" s="98"/>
      <c r="BH1358" s="98"/>
      <c r="BI1358" s="98"/>
      <c r="BJ1358" s="98"/>
      <c r="BK1358" s="98"/>
      <c r="BL1358" s="98"/>
      <c r="BM1358" s="57"/>
    </row>
    <row r="1359" spans="1:65" ht="11.25" x14ac:dyDescent="0.2">
      <c r="A1359" s="57"/>
      <c r="B1359" s="57"/>
      <c r="C1359" s="57"/>
      <c r="D1359" s="57"/>
      <c r="E1359" s="57"/>
      <c r="F1359" s="57"/>
      <c r="G1359" s="57"/>
      <c r="H1359" s="57"/>
      <c r="I1359" s="57"/>
      <c r="J1359" s="57"/>
      <c r="L1359" s="57"/>
      <c r="M1359" s="57"/>
      <c r="N1359" s="57"/>
      <c r="O1359" s="57"/>
      <c r="P1359" s="57"/>
      <c r="Q1359" s="57"/>
      <c r="R1359" s="57"/>
      <c r="S1359" s="57"/>
      <c r="T1359" s="57"/>
      <c r="U1359" s="57"/>
      <c r="V1359" s="57"/>
      <c r="W1359" s="57"/>
      <c r="X1359" s="57"/>
      <c r="Y1359" s="98"/>
      <c r="AA1359" s="98"/>
      <c r="AR1359" s="98"/>
      <c r="AS1359" s="57"/>
      <c r="AU1359" s="57"/>
      <c r="BF1359" s="98"/>
      <c r="BG1359" s="98"/>
      <c r="BH1359" s="98"/>
      <c r="BI1359" s="98"/>
      <c r="BJ1359" s="98"/>
      <c r="BK1359" s="98"/>
      <c r="BL1359" s="98"/>
      <c r="BM1359" s="57"/>
    </row>
    <row r="1360" spans="1:65" ht="11.25" x14ac:dyDescent="0.2">
      <c r="A1360" s="57"/>
      <c r="B1360" s="57"/>
      <c r="C1360" s="57"/>
      <c r="D1360" s="57"/>
      <c r="E1360" s="57"/>
      <c r="F1360" s="57"/>
      <c r="G1360" s="57"/>
      <c r="H1360" s="57"/>
      <c r="I1360" s="57"/>
      <c r="J1360" s="57"/>
      <c r="L1360" s="57"/>
      <c r="M1360" s="57"/>
      <c r="N1360" s="57"/>
      <c r="O1360" s="57"/>
      <c r="P1360" s="57"/>
      <c r="Q1360" s="57"/>
      <c r="R1360" s="57"/>
      <c r="S1360" s="57"/>
      <c r="T1360" s="57"/>
      <c r="U1360" s="57"/>
      <c r="V1360" s="57"/>
      <c r="W1360" s="57"/>
      <c r="X1360" s="57"/>
      <c r="Y1360" s="98"/>
      <c r="AA1360" s="98"/>
      <c r="AR1360" s="98"/>
      <c r="AS1360" s="57"/>
      <c r="AU1360" s="57"/>
      <c r="BF1360" s="98"/>
      <c r="BG1360" s="98"/>
      <c r="BH1360" s="98"/>
      <c r="BI1360" s="98"/>
      <c r="BJ1360" s="98"/>
      <c r="BK1360" s="98"/>
      <c r="BL1360" s="98"/>
      <c r="BM1360" s="57"/>
    </row>
    <row r="1361" spans="1:65" ht="11.25" x14ac:dyDescent="0.2">
      <c r="A1361" s="57"/>
      <c r="B1361" s="57"/>
      <c r="C1361" s="57"/>
      <c r="D1361" s="57"/>
      <c r="E1361" s="57"/>
      <c r="F1361" s="57"/>
      <c r="G1361" s="57"/>
      <c r="H1361" s="57"/>
      <c r="I1361" s="57"/>
      <c r="J1361" s="57"/>
      <c r="L1361" s="57"/>
      <c r="M1361" s="57"/>
      <c r="N1361" s="57"/>
      <c r="O1361" s="57"/>
      <c r="P1361" s="57"/>
      <c r="Q1361" s="57"/>
      <c r="R1361" s="57"/>
      <c r="S1361" s="57"/>
      <c r="T1361" s="57"/>
      <c r="U1361" s="57"/>
      <c r="V1361" s="57"/>
      <c r="W1361" s="57"/>
      <c r="X1361" s="57"/>
      <c r="Y1361" s="98"/>
      <c r="AA1361" s="98"/>
      <c r="AR1361" s="98"/>
      <c r="AS1361" s="57"/>
      <c r="AU1361" s="57"/>
      <c r="BF1361" s="98"/>
      <c r="BG1361" s="98"/>
      <c r="BH1361" s="98"/>
      <c r="BI1361" s="98"/>
      <c r="BJ1361" s="98"/>
      <c r="BK1361" s="98"/>
      <c r="BL1361" s="98"/>
      <c r="BM1361" s="57"/>
    </row>
    <row r="1362" spans="1:65" ht="11.25" x14ac:dyDescent="0.2">
      <c r="A1362" s="57"/>
      <c r="B1362" s="57"/>
      <c r="C1362" s="57"/>
      <c r="D1362" s="57"/>
      <c r="E1362" s="57"/>
      <c r="F1362" s="57"/>
      <c r="G1362" s="57"/>
      <c r="H1362" s="57"/>
      <c r="I1362" s="57"/>
      <c r="J1362" s="57"/>
      <c r="L1362" s="57"/>
      <c r="M1362" s="57"/>
      <c r="N1362" s="57"/>
      <c r="O1362" s="57"/>
      <c r="P1362" s="57"/>
      <c r="Q1362" s="57"/>
      <c r="R1362" s="57"/>
      <c r="S1362" s="57"/>
      <c r="T1362" s="57"/>
      <c r="U1362" s="57"/>
      <c r="V1362" s="57"/>
      <c r="W1362" s="57"/>
      <c r="X1362" s="57"/>
      <c r="Y1362" s="98"/>
      <c r="AA1362" s="98"/>
      <c r="AR1362" s="98"/>
      <c r="AS1362" s="57"/>
      <c r="AU1362" s="57"/>
      <c r="BF1362" s="98"/>
      <c r="BG1362" s="98"/>
      <c r="BH1362" s="98"/>
      <c r="BI1362" s="98"/>
      <c r="BJ1362" s="98"/>
      <c r="BK1362" s="98"/>
      <c r="BL1362" s="98"/>
      <c r="BM1362" s="57"/>
    </row>
    <row r="1363" spans="1:65" ht="11.25" x14ac:dyDescent="0.2">
      <c r="A1363" s="57"/>
      <c r="B1363" s="57"/>
      <c r="C1363" s="57"/>
      <c r="D1363" s="57"/>
      <c r="E1363" s="57"/>
      <c r="F1363" s="57"/>
      <c r="G1363" s="57"/>
      <c r="H1363" s="57"/>
      <c r="I1363" s="57"/>
      <c r="J1363" s="57"/>
      <c r="L1363" s="57"/>
      <c r="M1363" s="57"/>
      <c r="N1363" s="57"/>
      <c r="O1363" s="57"/>
      <c r="P1363" s="57"/>
      <c r="Q1363" s="57"/>
      <c r="R1363" s="57"/>
      <c r="S1363" s="57"/>
      <c r="T1363" s="57"/>
      <c r="U1363" s="57"/>
      <c r="V1363" s="57"/>
      <c r="W1363" s="57"/>
      <c r="X1363" s="57"/>
      <c r="Y1363" s="98"/>
      <c r="AA1363" s="98"/>
      <c r="AR1363" s="98"/>
      <c r="AS1363" s="57"/>
      <c r="AU1363" s="57"/>
      <c r="BF1363" s="98"/>
      <c r="BG1363" s="98"/>
      <c r="BH1363" s="98"/>
      <c r="BI1363" s="98"/>
      <c r="BJ1363" s="98"/>
      <c r="BK1363" s="98"/>
      <c r="BL1363" s="98"/>
      <c r="BM1363" s="57"/>
    </row>
    <row r="1364" spans="1:65" ht="11.25" x14ac:dyDescent="0.2">
      <c r="A1364" s="57"/>
      <c r="B1364" s="57"/>
      <c r="C1364" s="57"/>
      <c r="D1364" s="57"/>
      <c r="E1364" s="57"/>
      <c r="F1364" s="57"/>
      <c r="G1364" s="57"/>
      <c r="H1364" s="57"/>
      <c r="I1364" s="57"/>
      <c r="J1364" s="57"/>
      <c r="L1364" s="57"/>
      <c r="M1364" s="57"/>
      <c r="N1364" s="57"/>
      <c r="O1364" s="57"/>
      <c r="P1364" s="57"/>
      <c r="Q1364" s="57"/>
      <c r="R1364" s="57"/>
      <c r="S1364" s="57"/>
      <c r="T1364" s="57"/>
      <c r="U1364" s="57"/>
      <c r="V1364" s="57"/>
      <c r="W1364" s="57"/>
      <c r="X1364" s="57"/>
      <c r="Y1364" s="98"/>
      <c r="AA1364" s="98"/>
      <c r="AR1364" s="98"/>
      <c r="AS1364" s="57"/>
      <c r="AU1364" s="57"/>
      <c r="BF1364" s="98"/>
      <c r="BG1364" s="98"/>
      <c r="BH1364" s="98"/>
      <c r="BI1364" s="98"/>
      <c r="BJ1364" s="98"/>
      <c r="BK1364" s="98"/>
      <c r="BL1364" s="98"/>
      <c r="BM1364" s="57"/>
    </row>
    <row r="1365" spans="1:65" ht="11.25" x14ac:dyDescent="0.2">
      <c r="A1365" s="57"/>
      <c r="B1365" s="57"/>
      <c r="C1365" s="57"/>
      <c r="D1365" s="57"/>
      <c r="E1365" s="57"/>
      <c r="F1365" s="57"/>
      <c r="G1365" s="57"/>
      <c r="H1365" s="57"/>
      <c r="I1365" s="57"/>
      <c r="J1365" s="57"/>
      <c r="L1365" s="57"/>
      <c r="M1365" s="57"/>
      <c r="N1365" s="57"/>
      <c r="O1365" s="57"/>
      <c r="P1365" s="57"/>
      <c r="Q1365" s="57"/>
      <c r="R1365" s="57"/>
      <c r="S1365" s="57"/>
      <c r="T1365" s="57"/>
      <c r="U1365" s="57"/>
      <c r="V1365" s="57"/>
      <c r="W1365" s="57"/>
      <c r="X1365" s="57"/>
      <c r="Y1365" s="98"/>
      <c r="AA1365" s="98"/>
      <c r="AR1365" s="98"/>
      <c r="AS1365" s="57"/>
      <c r="AU1365" s="57"/>
      <c r="BF1365" s="98"/>
      <c r="BG1365" s="98"/>
      <c r="BH1365" s="98"/>
      <c r="BI1365" s="98"/>
      <c r="BJ1365" s="98"/>
      <c r="BK1365" s="98"/>
      <c r="BL1365" s="98"/>
      <c r="BM1365" s="57"/>
    </row>
    <row r="1366" spans="1:65" ht="11.25" x14ac:dyDescent="0.2">
      <c r="A1366" s="57"/>
      <c r="B1366" s="57"/>
      <c r="C1366" s="57"/>
      <c r="D1366" s="57"/>
      <c r="E1366" s="57"/>
      <c r="F1366" s="57"/>
      <c r="G1366" s="57"/>
      <c r="H1366" s="57"/>
      <c r="I1366" s="57"/>
      <c r="J1366" s="57"/>
      <c r="L1366" s="57"/>
      <c r="M1366" s="57"/>
      <c r="N1366" s="57"/>
      <c r="O1366" s="57"/>
      <c r="P1366" s="57"/>
      <c r="Q1366" s="57"/>
      <c r="R1366" s="57"/>
      <c r="S1366" s="57"/>
      <c r="T1366" s="57"/>
      <c r="U1366" s="57"/>
      <c r="V1366" s="57"/>
      <c r="W1366" s="57"/>
      <c r="X1366" s="57"/>
      <c r="Y1366" s="98"/>
      <c r="AA1366" s="98"/>
      <c r="AR1366" s="98"/>
      <c r="AS1366" s="57"/>
      <c r="AU1366" s="57"/>
      <c r="BF1366" s="98"/>
      <c r="BG1366" s="98"/>
      <c r="BH1366" s="98"/>
      <c r="BI1366" s="98"/>
      <c r="BJ1366" s="98"/>
      <c r="BK1366" s="98"/>
      <c r="BL1366" s="98"/>
      <c r="BM1366" s="57"/>
    </row>
    <row r="1367" spans="1:65" ht="11.25" x14ac:dyDescent="0.2">
      <c r="A1367" s="57"/>
      <c r="B1367" s="57"/>
      <c r="C1367" s="57"/>
      <c r="D1367" s="57"/>
      <c r="E1367" s="57"/>
      <c r="F1367" s="57"/>
      <c r="G1367" s="57"/>
      <c r="H1367" s="57"/>
      <c r="I1367" s="57"/>
      <c r="J1367" s="57"/>
      <c r="L1367" s="57"/>
      <c r="M1367" s="57"/>
      <c r="N1367" s="57"/>
      <c r="O1367" s="57"/>
      <c r="P1367" s="57"/>
      <c r="Q1367" s="57"/>
      <c r="R1367" s="57"/>
      <c r="S1367" s="57"/>
      <c r="T1367" s="57"/>
      <c r="U1367" s="57"/>
      <c r="V1367" s="57"/>
      <c r="W1367" s="57"/>
      <c r="X1367" s="57"/>
      <c r="Y1367" s="98"/>
      <c r="AA1367" s="98"/>
      <c r="AR1367" s="98"/>
      <c r="AS1367" s="57"/>
      <c r="AU1367" s="57"/>
      <c r="BF1367" s="98"/>
      <c r="BG1367" s="98"/>
      <c r="BH1367" s="98"/>
      <c r="BI1367" s="98"/>
      <c r="BJ1367" s="98"/>
      <c r="BK1367" s="98"/>
      <c r="BL1367" s="98"/>
      <c r="BM1367" s="57"/>
    </row>
    <row r="1368" spans="1:65" ht="11.25" x14ac:dyDescent="0.2">
      <c r="A1368" s="57"/>
      <c r="B1368" s="57"/>
      <c r="C1368" s="57"/>
      <c r="D1368" s="57"/>
      <c r="E1368" s="57"/>
      <c r="F1368" s="57"/>
      <c r="G1368" s="57"/>
      <c r="H1368" s="57"/>
      <c r="I1368" s="57"/>
      <c r="J1368" s="57"/>
      <c r="L1368" s="57"/>
      <c r="M1368" s="57"/>
      <c r="N1368" s="57"/>
      <c r="O1368" s="57"/>
      <c r="P1368" s="57"/>
      <c r="Q1368" s="57"/>
      <c r="R1368" s="57"/>
      <c r="S1368" s="57"/>
      <c r="T1368" s="57"/>
      <c r="U1368" s="57"/>
      <c r="V1368" s="57"/>
      <c r="W1368" s="57"/>
      <c r="X1368" s="57"/>
      <c r="Y1368" s="98"/>
      <c r="AA1368" s="98"/>
      <c r="AR1368" s="98"/>
      <c r="AS1368" s="57"/>
      <c r="AU1368" s="57"/>
      <c r="BF1368" s="98"/>
      <c r="BG1368" s="98"/>
      <c r="BH1368" s="98"/>
      <c r="BI1368" s="98"/>
      <c r="BJ1368" s="98"/>
      <c r="BK1368" s="98"/>
      <c r="BL1368" s="98"/>
      <c r="BM1368" s="57"/>
    </row>
    <row r="1369" spans="1:65" ht="11.25" x14ac:dyDescent="0.2">
      <c r="A1369" s="57"/>
      <c r="B1369" s="57"/>
      <c r="C1369" s="57"/>
      <c r="D1369" s="57"/>
      <c r="E1369" s="57"/>
      <c r="F1369" s="57"/>
      <c r="G1369" s="57"/>
      <c r="H1369" s="57"/>
      <c r="I1369" s="57"/>
      <c r="J1369" s="57"/>
      <c r="L1369" s="57"/>
      <c r="M1369" s="57"/>
      <c r="N1369" s="57"/>
      <c r="O1369" s="57"/>
      <c r="P1369" s="57"/>
      <c r="Q1369" s="57"/>
      <c r="R1369" s="57"/>
      <c r="S1369" s="57"/>
      <c r="T1369" s="57"/>
      <c r="U1369" s="57"/>
      <c r="V1369" s="57"/>
      <c r="W1369" s="57"/>
      <c r="X1369" s="57"/>
      <c r="Y1369" s="98"/>
      <c r="AA1369" s="98"/>
      <c r="AR1369" s="98"/>
      <c r="AS1369" s="57"/>
      <c r="AU1369" s="57"/>
      <c r="BF1369" s="98"/>
      <c r="BG1369" s="98"/>
      <c r="BH1369" s="98"/>
      <c r="BI1369" s="98"/>
      <c r="BJ1369" s="98"/>
      <c r="BK1369" s="98"/>
      <c r="BL1369" s="98"/>
      <c r="BM1369" s="57"/>
    </row>
    <row r="1370" spans="1:65" ht="11.25" x14ac:dyDescent="0.2">
      <c r="A1370" s="57"/>
      <c r="B1370" s="57"/>
      <c r="C1370" s="57"/>
      <c r="D1370" s="57"/>
      <c r="E1370" s="57"/>
      <c r="F1370" s="57"/>
      <c r="G1370" s="57"/>
      <c r="H1370" s="57"/>
      <c r="I1370" s="57"/>
      <c r="J1370" s="57"/>
      <c r="L1370" s="57"/>
      <c r="M1370" s="57"/>
      <c r="N1370" s="57"/>
      <c r="O1370" s="57"/>
      <c r="P1370" s="57"/>
      <c r="Q1370" s="57"/>
      <c r="R1370" s="57"/>
      <c r="S1370" s="57"/>
      <c r="T1370" s="57"/>
      <c r="U1370" s="57"/>
      <c r="V1370" s="57"/>
      <c r="W1370" s="57"/>
      <c r="X1370" s="57"/>
      <c r="Y1370" s="98"/>
      <c r="AA1370" s="98"/>
      <c r="AR1370" s="98"/>
      <c r="AS1370" s="57"/>
      <c r="AU1370" s="57"/>
      <c r="BF1370" s="98"/>
      <c r="BG1370" s="98"/>
      <c r="BH1370" s="98"/>
      <c r="BI1370" s="98"/>
      <c r="BJ1370" s="98"/>
      <c r="BK1370" s="98"/>
      <c r="BL1370" s="98"/>
      <c r="BM1370" s="57"/>
    </row>
    <row r="1371" spans="1:65" ht="11.25" x14ac:dyDescent="0.2">
      <c r="A1371" s="57"/>
      <c r="B1371" s="57"/>
      <c r="C1371" s="57"/>
      <c r="D1371" s="57"/>
      <c r="E1371" s="57"/>
      <c r="F1371" s="57"/>
      <c r="G1371" s="57"/>
      <c r="H1371" s="57"/>
      <c r="I1371" s="57"/>
      <c r="J1371" s="57"/>
      <c r="L1371" s="57"/>
      <c r="M1371" s="57"/>
      <c r="N1371" s="57"/>
      <c r="O1371" s="57"/>
      <c r="P1371" s="57"/>
      <c r="Q1371" s="57"/>
      <c r="R1371" s="57"/>
      <c r="S1371" s="57"/>
      <c r="T1371" s="57"/>
      <c r="U1371" s="57"/>
      <c r="V1371" s="57"/>
      <c r="W1371" s="57"/>
      <c r="X1371" s="57"/>
      <c r="Y1371" s="98"/>
      <c r="AA1371" s="98"/>
      <c r="AR1371" s="98"/>
      <c r="AS1371" s="57"/>
      <c r="AU1371" s="57"/>
      <c r="BF1371" s="98"/>
      <c r="BG1371" s="98"/>
      <c r="BH1371" s="98"/>
      <c r="BI1371" s="98"/>
      <c r="BJ1371" s="98"/>
      <c r="BK1371" s="98"/>
      <c r="BL1371" s="98"/>
      <c r="BM1371" s="57"/>
    </row>
    <row r="1372" spans="1:65" ht="11.25" x14ac:dyDescent="0.2">
      <c r="A1372" s="57"/>
      <c r="B1372" s="57"/>
      <c r="C1372" s="57"/>
      <c r="D1372" s="57"/>
      <c r="E1372" s="57"/>
      <c r="F1372" s="57"/>
      <c r="G1372" s="57"/>
      <c r="H1372" s="57"/>
      <c r="I1372" s="57"/>
      <c r="J1372" s="57"/>
      <c r="L1372" s="57"/>
      <c r="M1372" s="57"/>
      <c r="N1372" s="57"/>
      <c r="O1372" s="57"/>
      <c r="P1372" s="57"/>
      <c r="Q1372" s="57"/>
      <c r="R1372" s="57"/>
      <c r="S1372" s="57"/>
      <c r="T1372" s="57"/>
      <c r="U1372" s="57"/>
      <c r="V1372" s="57"/>
      <c r="W1372" s="57"/>
      <c r="X1372" s="57"/>
      <c r="Y1372" s="98"/>
      <c r="AA1372" s="98"/>
      <c r="AR1372" s="98"/>
      <c r="AS1372" s="57"/>
      <c r="AU1372" s="57"/>
      <c r="BF1372" s="98"/>
      <c r="BG1372" s="98"/>
      <c r="BH1372" s="98"/>
      <c r="BI1372" s="98"/>
      <c r="BJ1372" s="98"/>
      <c r="BK1372" s="98"/>
      <c r="BL1372" s="98"/>
      <c r="BM1372" s="57"/>
    </row>
    <row r="1373" spans="1:65" ht="11.25" x14ac:dyDescent="0.2">
      <c r="A1373" s="57"/>
      <c r="B1373" s="57"/>
      <c r="C1373" s="57"/>
      <c r="D1373" s="57"/>
      <c r="E1373" s="57"/>
      <c r="F1373" s="57"/>
      <c r="G1373" s="57"/>
      <c r="H1373" s="57"/>
      <c r="I1373" s="57"/>
      <c r="J1373" s="57"/>
      <c r="L1373" s="57"/>
      <c r="M1373" s="57"/>
      <c r="N1373" s="57"/>
      <c r="O1373" s="57"/>
      <c r="P1373" s="57"/>
      <c r="Q1373" s="57"/>
      <c r="R1373" s="57"/>
      <c r="S1373" s="57"/>
      <c r="T1373" s="57"/>
      <c r="U1373" s="57"/>
      <c r="V1373" s="57"/>
      <c r="W1373" s="57"/>
      <c r="X1373" s="57"/>
      <c r="Y1373" s="98"/>
      <c r="AA1373" s="98"/>
      <c r="AR1373" s="98"/>
      <c r="AS1373" s="57"/>
      <c r="AU1373" s="57"/>
      <c r="BF1373" s="98"/>
      <c r="BG1373" s="98"/>
      <c r="BH1373" s="98"/>
      <c r="BI1373" s="98"/>
      <c r="BJ1373" s="98"/>
      <c r="BK1373" s="98"/>
      <c r="BL1373" s="98"/>
      <c r="BM1373" s="57"/>
    </row>
    <row r="1374" spans="1:65" ht="11.25" x14ac:dyDescent="0.2">
      <c r="A1374" s="57"/>
      <c r="B1374" s="57"/>
      <c r="C1374" s="57"/>
      <c r="D1374" s="57"/>
      <c r="E1374" s="57"/>
      <c r="F1374" s="57"/>
      <c r="G1374" s="57"/>
      <c r="H1374" s="57"/>
      <c r="I1374" s="57"/>
      <c r="J1374" s="57"/>
      <c r="L1374" s="57"/>
      <c r="M1374" s="57"/>
      <c r="N1374" s="57"/>
      <c r="O1374" s="57"/>
      <c r="P1374" s="57"/>
      <c r="Q1374" s="57"/>
      <c r="R1374" s="57"/>
      <c r="S1374" s="57"/>
      <c r="T1374" s="57"/>
      <c r="U1374" s="57"/>
      <c r="V1374" s="57"/>
      <c r="W1374" s="57"/>
      <c r="X1374" s="57"/>
      <c r="Y1374" s="98"/>
      <c r="AA1374" s="98"/>
      <c r="AR1374" s="98"/>
      <c r="AS1374" s="57"/>
      <c r="AU1374" s="57"/>
      <c r="BF1374" s="98"/>
      <c r="BG1374" s="98"/>
      <c r="BH1374" s="98"/>
      <c r="BI1374" s="98"/>
      <c r="BJ1374" s="98"/>
      <c r="BK1374" s="98"/>
      <c r="BL1374" s="98"/>
      <c r="BM1374" s="57"/>
    </row>
    <row r="1375" spans="1:65" ht="11.25" x14ac:dyDescent="0.2">
      <c r="A1375" s="57"/>
      <c r="B1375" s="57"/>
      <c r="C1375" s="57"/>
      <c r="D1375" s="57"/>
      <c r="E1375" s="57"/>
      <c r="F1375" s="57"/>
      <c r="G1375" s="57"/>
      <c r="H1375" s="57"/>
      <c r="I1375" s="57"/>
      <c r="J1375" s="57"/>
      <c r="L1375" s="57"/>
      <c r="M1375" s="57"/>
      <c r="N1375" s="57"/>
      <c r="O1375" s="57"/>
      <c r="P1375" s="57"/>
      <c r="Q1375" s="57"/>
      <c r="R1375" s="57"/>
      <c r="S1375" s="57"/>
      <c r="T1375" s="57"/>
      <c r="U1375" s="57"/>
      <c r="V1375" s="57"/>
      <c r="W1375" s="57"/>
      <c r="X1375" s="57"/>
      <c r="Y1375" s="98"/>
      <c r="AA1375" s="98"/>
      <c r="AR1375" s="98"/>
      <c r="AS1375" s="57"/>
      <c r="AU1375" s="57"/>
      <c r="BF1375" s="98"/>
      <c r="BG1375" s="98"/>
      <c r="BH1375" s="98"/>
      <c r="BI1375" s="98"/>
      <c r="BJ1375" s="98"/>
      <c r="BK1375" s="98"/>
      <c r="BL1375" s="98"/>
      <c r="BM1375" s="57"/>
    </row>
    <row r="1376" spans="1:65" ht="11.25" x14ac:dyDescent="0.2">
      <c r="A1376" s="57"/>
      <c r="B1376" s="57"/>
      <c r="C1376" s="57"/>
      <c r="D1376" s="57"/>
      <c r="E1376" s="57"/>
      <c r="F1376" s="57"/>
      <c r="G1376" s="57"/>
      <c r="H1376" s="57"/>
      <c r="I1376" s="57"/>
      <c r="J1376" s="57"/>
      <c r="L1376" s="57"/>
      <c r="M1376" s="57"/>
      <c r="N1376" s="57"/>
      <c r="O1376" s="57"/>
      <c r="P1376" s="57"/>
      <c r="Q1376" s="57"/>
      <c r="R1376" s="57"/>
      <c r="S1376" s="57"/>
      <c r="T1376" s="57"/>
      <c r="U1376" s="57"/>
      <c r="V1376" s="57"/>
      <c r="W1376" s="57"/>
      <c r="X1376" s="57"/>
      <c r="Y1376" s="98"/>
      <c r="AA1376" s="98"/>
      <c r="AR1376" s="98"/>
      <c r="AS1376" s="57"/>
      <c r="AU1376" s="57"/>
      <c r="BF1376" s="98"/>
      <c r="BG1376" s="98"/>
      <c r="BH1376" s="98"/>
      <c r="BI1376" s="98"/>
      <c r="BJ1376" s="98"/>
      <c r="BK1376" s="98"/>
      <c r="BL1376" s="98"/>
      <c r="BM1376" s="57"/>
    </row>
    <row r="1377" spans="1:65" ht="11.25" x14ac:dyDescent="0.2">
      <c r="A1377" s="57"/>
      <c r="B1377" s="57"/>
      <c r="C1377" s="57"/>
      <c r="D1377" s="57"/>
      <c r="E1377" s="57"/>
      <c r="F1377" s="57"/>
      <c r="G1377" s="57"/>
      <c r="H1377" s="57"/>
      <c r="I1377" s="57"/>
      <c r="J1377" s="57"/>
      <c r="L1377" s="57"/>
      <c r="M1377" s="57"/>
      <c r="N1377" s="57"/>
      <c r="O1377" s="57"/>
      <c r="P1377" s="57"/>
      <c r="Q1377" s="57"/>
      <c r="R1377" s="57"/>
      <c r="S1377" s="57"/>
      <c r="T1377" s="57"/>
      <c r="U1377" s="57"/>
      <c r="V1377" s="57"/>
      <c r="W1377" s="57"/>
      <c r="X1377" s="57"/>
      <c r="Y1377" s="98"/>
      <c r="AA1377" s="98"/>
      <c r="AR1377" s="98"/>
      <c r="AS1377" s="57"/>
      <c r="AU1377" s="57"/>
      <c r="BF1377" s="98"/>
      <c r="BG1377" s="98"/>
      <c r="BH1377" s="98"/>
      <c r="BI1377" s="98"/>
      <c r="BJ1377" s="98"/>
      <c r="BK1377" s="98"/>
      <c r="BL1377" s="98"/>
      <c r="BM1377" s="57"/>
    </row>
    <row r="1378" spans="1:65" ht="11.25" x14ac:dyDescent="0.2">
      <c r="A1378" s="57"/>
      <c r="B1378" s="57"/>
      <c r="C1378" s="57"/>
      <c r="D1378" s="57"/>
      <c r="E1378" s="57"/>
      <c r="F1378" s="57"/>
      <c r="G1378" s="57"/>
      <c r="H1378" s="57"/>
      <c r="I1378" s="57"/>
      <c r="J1378" s="57"/>
      <c r="L1378" s="57"/>
      <c r="M1378" s="57"/>
      <c r="N1378" s="57"/>
      <c r="O1378" s="57"/>
      <c r="P1378" s="57"/>
      <c r="Q1378" s="57"/>
      <c r="R1378" s="57"/>
      <c r="S1378" s="57"/>
      <c r="T1378" s="57"/>
      <c r="U1378" s="57"/>
      <c r="V1378" s="57"/>
      <c r="W1378" s="57"/>
      <c r="X1378" s="57"/>
      <c r="Y1378" s="98"/>
      <c r="AA1378" s="98"/>
      <c r="AR1378" s="98"/>
      <c r="AS1378" s="57"/>
      <c r="AU1378" s="57"/>
      <c r="BF1378" s="98"/>
      <c r="BG1378" s="98"/>
      <c r="BH1378" s="98"/>
      <c r="BI1378" s="98"/>
      <c r="BJ1378" s="98"/>
      <c r="BK1378" s="98"/>
      <c r="BL1378" s="98"/>
      <c r="BM1378" s="57"/>
    </row>
    <row r="1379" spans="1:65" ht="11.25" x14ac:dyDescent="0.2">
      <c r="A1379" s="57"/>
      <c r="B1379" s="57"/>
      <c r="C1379" s="57"/>
      <c r="D1379" s="57"/>
      <c r="E1379" s="57"/>
      <c r="F1379" s="57"/>
      <c r="G1379" s="57"/>
      <c r="H1379" s="57"/>
      <c r="I1379" s="57"/>
      <c r="J1379" s="57"/>
      <c r="L1379" s="57"/>
      <c r="M1379" s="57"/>
      <c r="N1379" s="57"/>
      <c r="O1379" s="57"/>
      <c r="P1379" s="57"/>
      <c r="Q1379" s="57"/>
      <c r="R1379" s="57"/>
      <c r="S1379" s="57"/>
      <c r="T1379" s="57"/>
      <c r="U1379" s="57"/>
      <c r="V1379" s="57"/>
      <c r="W1379" s="57"/>
      <c r="X1379" s="57"/>
      <c r="Y1379" s="98"/>
      <c r="AA1379" s="98"/>
      <c r="AR1379" s="98"/>
      <c r="AS1379" s="57"/>
      <c r="AU1379" s="57"/>
      <c r="BF1379" s="98"/>
      <c r="BG1379" s="98"/>
      <c r="BH1379" s="98"/>
      <c r="BI1379" s="98"/>
      <c r="BJ1379" s="98"/>
      <c r="BK1379" s="98"/>
      <c r="BL1379" s="98"/>
      <c r="BM1379" s="57"/>
    </row>
    <row r="1380" spans="1:65" ht="11.25" x14ac:dyDescent="0.2">
      <c r="A1380" s="57"/>
      <c r="B1380" s="57"/>
      <c r="C1380" s="57"/>
      <c r="D1380" s="57"/>
      <c r="E1380" s="57"/>
      <c r="F1380" s="57"/>
      <c r="G1380" s="57"/>
      <c r="H1380" s="57"/>
      <c r="I1380" s="57"/>
      <c r="J1380" s="57"/>
      <c r="L1380" s="57"/>
      <c r="M1380" s="57"/>
      <c r="N1380" s="57"/>
      <c r="O1380" s="57"/>
      <c r="P1380" s="57"/>
      <c r="Q1380" s="57"/>
      <c r="R1380" s="57"/>
      <c r="S1380" s="57"/>
      <c r="T1380" s="57"/>
      <c r="U1380" s="57"/>
      <c r="V1380" s="57"/>
      <c r="W1380" s="57"/>
      <c r="X1380" s="57"/>
      <c r="Y1380" s="98"/>
      <c r="AA1380" s="98"/>
      <c r="AR1380" s="98"/>
      <c r="AS1380" s="57"/>
      <c r="AU1380" s="57"/>
      <c r="BF1380" s="98"/>
      <c r="BG1380" s="98"/>
      <c r="BH1380" s="98"/>
      <c r="BI1380" s="98"/>
      <c r="BJ1380" s="98"/>
      <c r="BK1380" s="98"/>
      <c r="BL1380" s="98"/>
      <c r="BM1380" s="57"/>
    </row>
    <row r="1381" spans="1:65" ht="11.25" x14ac:dyDescent="0.2">
      <c r="A1381" s="57"/>
      <c r="B1381" s="57"/>
      <c r="C1381" s="57"/>
      <c r="D1381" s="57"/>
      <c r="E1381" s="57"/>
      <c r="F1381" s="57"/>
      <c r="G1381" s="57"/>
      <c r="H1381" s="57"/>
      <c r="I1381" s="57"/>
      <c r="J1381" s="57"/>
      <c r="L1381" s="57"/>
      <c r="M1381" s="57"/>
      <c r="N1381" s="57"/>
      <c r="O1381" s="57"/>
      <c r="P1381" s="57"/>
      <c r="Q1381" s="57"/>
      <c r="R1381" s="57"/>
      <c r="S1381" s="57"/>
      <c r="T1381" s="57"/>
      <c r="U1381" s="57"/>
      <c r="V1381" s="57"/>
      <c r="W1381" s="57"/>
      <c r="X1381" s="57"/>
      <c r="Y1381" s="98"/>
      <c r="AA1381" s="98"/>
      <c r="AR1381" s="98"/>
      <c r="AS1381" s="57"/>
      <c r="AU1381" s="57"/>
      <c r="BF1381" s="98"/>
      <c r="BG1381" s="98"/>
      <c r="BH1381" s="98"/>
      <c r="BI1381" s="98"/>
      <c r="BJ1381" s="98"/>
      <c r="BK1381" s="98"/>
      <c r="BL1381" s="98"/>
      <c r="BM1381" s="57"/>
    </row>
    <row r="1382" spans="1:65" ht="11.25" x14ac:dyDescent="0.2">
      <c r="A1382" s="57"/>
      <c r="B1382" s="57"/>
      <c r="C1382" s="57"/>
      <c r="D1382" s="57"/>
      <c r="E1382" s="57"/>
      <c r="F1382" s="57"/>
      <c r="G1382" s="57"/>
      <c r="H1382" s="57"/>
      <c r="I1382" s="57"/>
      <c r="J1382" s="57"/>
      <c r="L1382" s="57"/>
      <c r="M1382" s="57"/>
      <c r="N1382" s="57"/>
      <c r="O1382" s="57"/>
      <c r="P1382" s="57"/>
      <c r="Q1382" s="57"/>
      <c r="R1382" s="57"/>
      <c r="S1382" s="57"/>
      <c r="T1382" s="57"/>
      <c r="U1382" s="57"/>
      <c r="V1382" s="57"/>
      <c r="W1382" s="57"/>
      <c r="X1382" s="57"/>
      <c r="Y1382" s="98"/>
      <c r="AA1382" s="98"/>
      <c r="AR1382" s="98"/>
      <c r="AS1382" s="57"/>
      <c r="AU1382" s="57"/>
      <c r="BF1382" s="98"/>
      <c r="BG1382" s="98"/>
      <c r="BH1382" s="98"/>
      <c r="BI1382" s="98"/>
      <c r="BJ1382" s="98"/>
      <c r="BK1382" s="98"/>
      <c r="BL1382" s="98"/>
      <c r="BM1382" s="57"/>
    </row>
    <row r="1383" spans="1:65" ht="11.25" x14ac:dyDescent="0.2">
      <c r="A1383" s="57"/>
      <c r="B1383" s="57"/>
      <c r="C1383" s="57"/>
      <c r="D1383" s="57"/>
      <c r="E1383" s="57"/>
      <c r="F1383" s="57"/>
      <c r="G1383" s="57"/>
      <c r="H1383" s="57"/>
      <c r="I1383" s="57"/>
      <c r="J1383" s="57"/>
      <c r="L1383" s="57"/>
      <c r="M1383" s="57"/>
      <c r="N1383" s="57"/>
      <c r="O1383" s="57"/>
      <c r="P1383" s="57"/>
      <c r="Q1383" s="57"/>
      <c r="R1383" s="57"/>
      <c r="S1383" s="57"/>
      <c r="T1383" s="57"/>
      <c r="U1383" s="57"/>
      <c r="V1383" s="57"/>
      <c r="W1383" s="57"/>
      <c r="X1383" s="57"/>
      <c r="Y1383" s="98"/>
      <c r="AA1383" s="98"/>
      <c r="AR1383" s="98"/>
      <c r="AS1383" s="57"/>
      <c r="AU1383" s="57"/>
      <c r="BF1383" s="98"/>
      <c r="BG1383" s="98"/>
      <c r="BH1383" s="98"/>
      <c r="BI1383" s="98"/>
      <c r="BJ1383" s="98"/>
      <c r="BK1383" s="98"/>
      <c r="BL1383" s="98"/>
      <c r="BM1383" s="57"/>
    </row>
    <row r="1384" spans="1:65" ht="11.25" x14ac:dyDescent="0.2">
      <c r="A1384" s="57"/>
      <c r="B1384" s="57"/>
      <c r="C1384" s="57"/>
      <c r="D1384" s="57"/>
      <c r="E1384" s="57"/>
      <c r="F1384" s="57"/>
      <c r="G1384" s="57"/>
      <c r="H1384" s="57"/>
      <c r="I1384" s="57"/>
      <c r="J1384" s="57"/>
      <c r="L1384" s="57"/>
      <c r="M1384" s="57"/>
      <c r="N1384" s="57"/>
      <c r="O1384" s="57"/>
      <c r="P1384" s="57"/>
      <c r="Q1384" s="57"/>
      <c r="R1384" s="57"/>
      <c r="S1384" s="57"/>
      <c r="T1384" s="57"/>
      <c r="U1384" s="57"/>
      <c r="V1384" s="57"/>
      <c r="W1384" s="57"/>
      <c r="X1384" s="57"/>
      <c r="Y1384" s="98"/>
      <c r="AA1384" s="98"/>
      <c r="AR1384" s="98"/>
      <c r="AS1384" s="57"/>
      <c r="AU1384" s="57"/>
      <c r="BF1384" s="98"/>
      <c r="BG1384" s="98"/>
      <c r="BH1384" s="98"/>
      <c r="BI1384" s="98"/>
      <c r="BJ1384" s="98"/>
      <c r="BK1384" s="98"/>
      <c r="BL1384" s="98"/>
      <c r="BM1384" s="57"/>
    </row>
    <row r="1385" spans="1:65" ht="11.25" x14ac:dyDescent="0.2">
      <c r="A1385" s="57"/>
      <c r="B1385" s="57"/>
      <c r="C1385" s="57"/>
      <c r="D1385" s="57"/>
      <c r="E1385" s="57"/>
      <c r="F1385" s="57"/>
      <c r="G1385" s="57"/>
      <c r="H1385" s="57"/>
      <c r="I1385" s="57"/>
      <c r="J1385" s="57"/>
      <c r="L1385" s="57"/>
      <c r="M1385" s="57"/>
      <c r="N1385" s="57"/>
      <c r="O1385" s="57"/>
      <c r="P1385" s="57"/>
      <c r="Q1385" s="57"/>
      <c r="R1385" s="57"/>
      <c r="S1385" s="57"/>
      <c r="T1385" s="57"/>
      <c r="U1385" s="57"/>
      <c r="V1385" s="57"/>
      <c r="W1385" s="57"/>
      <c r="X1385" s="57"/>
      <c r="Y1385" s="98"/>
      <c r="AA1385" s="98"/>
      <c r="AR1385" s="98"/>
      <c r="AS1385" s="57"/>
      <c r="AU1385" s="57"/>
      <c r="BF1385" s="98"/>
      <c r="BG1385" s="98"/>
      <c r="BH1385" s="98"/>
      <c r="BI1385" s="98"/>
      <c r="BJ1385" s="98"/>
      <c r="BK1385" s="98"/>
      <c r="BL1385" s="98"/>
      <c r="BM1385" s="57"/>
    </row>
    <row r="1386" spans="1:65" ht="11.25" x14ac:dyDescent="0.2">
      <c r="A1386" s="57"/>
      <c r="B1386" s="57"/>
      <c r="C1386" s="57"/>
      <c r="D1386" s="57"/>
      <c r="E1386" s="57"/>
      <c r="F1386" s="57"/>
      <c r="G1386" s="57"/>
      <c r="H1386" s="57"/>
      <c r="I1386" s="57"/>
      <c r="J1386" s="57"/>
      <c r="L1386" s="57"/>
      <c r="M1386" s="57"/>
      <c r="N1386" s="57"/>
      <c r="O1386" s="57"/>
      <c r="P1386" s="57"/>
      <c r="Q1386" s="57"/>
      <c r="R1386" s="57"/>
      <c r="S1386" s="57"/>
      <c r="T1386" s="57"/>
      <c r="U1386" s="57"/>
      <c r="V1386" s="57"/>
      <c r="W1386" s="57"/>
      <c r="X1386" s="57"/>
      <c r="Y1386" s="98"/>
      <c r="AA1386" s="98"/>
      <c r="AR1386" s="98"/>
      <c r="AS1386" s="57"/>
      <c r="AU1386" s="57"/>
      <c r="BF1386" s="98"/>
      <c r="BG1386" s="98"/>
      <c r="BH1386" s="98"/>
      <c r="BI1386" s="98"/>
      <c r="BJ1386" s="98"/>
      <c r="BK1386" s="98"/>
      <c r="BL1386" s="98"/>
      <c r="BM1386" s="57"/>
    </row>
    <row r="1387" spans="1:65" ht="11.25" x14ac:dyDescent="0.2">
      <c r="A1387" s="57"/>
      <c r="B1387" s="57"/>
      <c r="C1387" s="57"/>
      <c r="D1387" s="57"/>
      <c r="E1387" s="57"/>
      <c r="F1387" s="57"/>
      <c r="G1387" s="57"/>
      <c r="H1387" s="57"/>
      <c r="I1387" s="57"/>
      <c r="J1387" s="57"/>
      <c r="L1387" s="57"/>
      <c r="M1387" s="57"/>
      <c r="N1387" s="57"/>
      <c r="O1387" s="57"/>
      <c r="P1387" s="57"/>
      <c r="Q1387" s="57"/>
      <c r="R1387" s="57"/>
      <c r="S1387" s="57"/>
      <c r="T1387" s="57"/>
      <c r="U1387" s="57"/>
      <c r="V1387" s="57"/>
      <c r="W1387" s="57"/>
      <c r="X1387" s="57"/>
      <c r="Y1387" s="98"/>
      <c r="AA1387" s="98"/>
      <c r="AR1387" s="98"/>
      <c r="AS1387" s="57"/>
      <c r="AU1387" s="57"/>
      <c r="BF1387" s="98"/>
      <c r="BG1387" s="98"/>
      <c r="BH1387" s="98"/>
      <c r="BI1387" s="98"/>
      <c r="BJ1387" s="98"/>
      <c r="BK1387" s="98"/>
      <c r="BL1387" s="98"/>
      <c r="BM1387" s="57"/>
    </row>
    <row r="1388" spans="1:65" ht="11.25" x14ac:dyDescent="0.2">
      <c r="A1388" s="57"/>
      <c r="B1388" s="57"/>
      <c r="C1388" s="57"/>
      <c r="D1388" s="57"/>
      <c r="E1388" s="57"/>
      <c r="F1388" s="57"/>
      <c r="G1388" s="57"/>
      <c r="H1388" s="57"/>
      <c r="I1388" s="57"/>
      <c r="J1388" s="57"/>
      <c r="L1388" s="57"/>
      <c r="M1388" s="57"/>
      <c r="N1388" s="57"/>
      <c r="O1388" s="57"/>
      <c r="P1388" s="57"/>
      <c r="Q1388" s="57"/>
      <c r="R1388" s="57"/>
      <c r="S1388" s="57"/>
      <c r="T1388" s="57"/>
      <c r="U1388" s="57"/>
      <c r="V1388" s="57"/>
      <c r="W1388" s="57"/>
      <c r="X1388" s="57"/>
      <c r="Y1388" s="98"/>
      <c r="AA1388" s="98"/>
      <c r="AR1388" s="98"/>
      <c r="AS1388" s="57"/>
      <c r="AU1388" s="57"/>
      <c r="BF1388" s="98"/>
      <c r="BG1388" s="98"/>
      <c r="BH1388" s="98"/>
      <c r="BI1388" s="98"/>
      <c r="BJ1388" s="98"/>
      <c r="BK1388" s="98"/>
      <c r="BL1388" s="98"/>
      <c r="BM1388" s="57"/>
    </row>
    <row r="1389" spans="1:65" ht="11.25" x14ac:dyDescent="0.2">
      <c r="A1389" s="57"/>
      <c r="B1389" s="57"/>
      <c r="C1389" s="57"/>
      <c r="D1389" s="57"/>
      <c r="E1389" s="57"/>
      <c r="F1389" s="57"/>
      <c r="G1389" s="57"/>
      <c r="H1389" s="57"/>
      <c r="I1389" s="57"/>
      <c r="J1389" s="57"/>
      <c r="L1389" s="57"/>
      <c r="M1389" s="57"/>
      <c r="N1389" s="57"/>
      <c r="O1389" s="57"/>
      <c r="P1389" s="57"/>
      <c r="Q1389" s="57"/>
      <c r="R1389" s="57"/>
      <c r="S1389" s="57"/>
      <c r="T1389" s="57"/>
      <c r="U1389" s="57"/>
      <c r="V1389" s="57"/>
      <c r="W1389" s="57"/>
      <c r="X1389" s="57"/>
      <c r="Y1389" s="98"/>
      <c r="AA1389" s="98"/>
      <c r="AR1389" s="98"/>
      <c r="AS1389" s="57"/>
      <c r="AU1389" s="57"/>
      <c r="BF1389" s="98"/>
      <c r="BG1389" s="98"/>
      <c r="BH1389" s="98"/>
      <c r="BI1389" s="98"/>
      <c r="BJ1389" s="98"/>
      <c r="BK1389" s="98"/>
      <c r="BL1389" s="98"/>
      <c r="BM1389" s="57"/>
    </row>
    <row r="1390" spans="1:65" ht="11.25" x14ac:dyDescent="0.2">
      <c r="A1390" s="57"/>
      <c r="B1390" s="57"/>
      <c r="C1390" s="57"/>
      <c r="D1390" s="57"/>
      <c r="E1390" s="57"/>
      <c r="F1390" s="57"/>
      <c r="G1390" s="57"/>
      <c r="H1390" s="57"/>
      <c r="I1390" s="57"/>
      <c r="J1390" s="57"/>
      <c r="L1390" s="57"/>
      <c r="M1390" s="57"/>
      <c r="N1390" s="57"/>
      <c r="O1390" s="57"/>
      <c r="P1390" s="57"/>
      <c r="Q1390" s="57"/>
      <c r="R1390" s="57"/>
      <c r="S1390" s="57"/>
      <c r="T1390" s="57"/>
      <c r="U1390" s="57"/>
      <c r="V1390" s="57"/>
      <c r="W1390" s="57"/>
      <c r="X1390" s="57"/>
      <c r="Y1390" s="98"/>
      <c r="AA1390" s="98"/>
      <c r="AR1390" s="98"/>
      <c r="AS1390" s="57"/>
      <c r="AU1390" s="57"/>
      <c r="BF1390" s="98"/>
      <c r="BG1390" s="98"/>
      <c r="BH1390" s="98"/>
      <c r="BI1390" s="98"/>
      <c r="BJ1390" s="98"/>
      <c r="BK1390" s="98"/>
      <c r="BL1390" s="98"/>
      <c r="BM1390" s="57"/>
    </row>
    <row r="1391" spans="1:65" ht="11.25" x14ac:dyDescent="0.2">
      <c r="A1391" s="57"/>
      <c r="B1391" s="57"/>
      <c r="C1391" s="57"/>
      <c r="D1391" s="57"/>
      <c r="E1391" s="57"/>
      <c r="F1391" s="57"/>
      <c r="G1391" s="57"/>
      <c r="H1391" s="57"/>
      <c r="I1391" s="57"/>
      <c r="J1391" s="57"/>
      <c r="L1391" s="57"/>
      <c r="M1391" s="57"/>
      <c r="N1391" s="57"/>
      <c r="O1391" s="57"/>
      <c r="P1391" s="57"/>
      <c r="Q1391" s="57"/>
      <c r="R1391" s="57"/>
      <c r="S1391" s="57"/>
      <c r="T1391" s="57"/>
      <c r="U1391" s="57"/>
      <c r="V1391" s="57"/>
      <c r="W1391" s="57"/>
      <c r="X1391" s="57"/>
      <c r="Y1391" s="98"/>
      <c r="AA1391" s="98"/>
      <c r="AR1391" s="98"/>
      <c r="AS1391" s="57"/>
      <c r="AU1391" s="57"/>
      <c r="BF1391" s="98"/>
      <c r="BG1391" s="98"/>
      <c r="BH1391" s="98"/>
      <c r="BI1391" s="98"/>
      <c r="BJ1391" s="98"/>
      <c r="BK1391" s="98"/>
      <c r="BL1391" s="98"/>
      <c r="BM1391" s="57"/>
    </row>
    <row r="1392" spans="1:65" ht="11.25" x14ac:dyDescent="0.2">
      <c r="A1392" s="57"/>
      <c r="B1392" s="57"/>
      <c r="C1392" s="57"/>
      <c r="D1392" s="57"/>
      <c r="E1392" s="57"/>
      <c r="F1392" s="57"/>
      <c r="G1392" s="57"/>
      <c r="H1392" s="57"/>
      <c r="I1392" s="57"/>
      <c r="J1392" s="57"/>
      <c r="L1392" s="57"/>
      <c r="M1392" s="57"/>
      <c r="N1392" s="57"/>
      <c r="O1392" s="57"/>
      <c r="P1392" s="57"/>
      <c r="Q1392" s="57"/>
      <c r="R1392" s="57"/>
      <c r="S1392" s="57"/>
      <c r="T1392" s="57"/>
      <c r="U1392" s="57"/>
      <c r="V1392" s="57"/>
      <c r="W1392" s="57"/>
      <c r="X1392" s="57"/>
      <c r="Y1392" s="98"/>
      <c r="AA1392" s="98"/>
      <c r="AR1392" s="98"/>
      <c r="AS1392" s="57"/>
      <c r="AU1392" s="57"/>
      <c r="BF1392" s="98"/>
      <c r="BG1392" s="98"/>
      <c r="BH1392" s="98"/>
      <c r="BI1392" s="98"/>
      <c r="BJ1392" s="98"/>
      <c r="BK1392" s="98"/>
      <c r="BL1392" s="98"/>
      <c r="BM1392" s="57"/>
    </row>
    <row r="1393" spans="1:65" ht="11.25" x14ac:dyDescent="0.2">
      <c r="A1393" s="57"/>
      <c r="B1393" s="57"/>
      <c r="C1393" s="57"/>
      <c r="D1393" s="57"/>
      <c r="E1393" s="57"/>
      <c r="F1393" s="57"/>
      <c r="G1393" s="57"/>
      <c r="H1393" s="57"/>
      <c r="I1393" s="57"/>
      <c r="J1393" s="57"/>
      <c r="L1393" s="57"/>
      <c r="M1393" s="57"/>
      <c r="N1393" s="57"/>
      <c r="O1393" s="57"/>
      <c r="P1393" s="57"/>
      <c r="Q1393" s="57"/>
      <c r="R1393" s="57"/>
      <c r="S1393" s="57"/>
      <c r="T1393" s="57"/>
      <c r="U1393" s="57"/>
      <c r="V1393" s="57"/>
      <c r="W1393" s="57"/>
      <c r="X1393" s="57"/>
      <c r="Y1393" s="98"/>
      <c r="AA1393" s="98"/>
      <c r="AR1393" s="98"/>
      <c r="AS1393" s="57"/>
      <c r="AU1393" s="57"/>
      <c r="BF1393" s="98"/>
      <c r="BG1393" s="98"/>
      <c r="BH1393" s="98"/>
      <c r="BI1393" s="98"/>
      <c r="BJ1393" s="98"/>
      <c r="BK1393" s="98"/>
      <c r="BL1393" s="98"/>
      <c r="BM1393" s="57"/>
    </row>
    <row r="1394" spans="1:65" ht="11.25" x14ac:dyDescent="0.2">
      <c r="A1394" s="57"/>
      <c r="B1394" s="57"/>
      <c r="C1394" s="57"/>
      <c r="D1394" s="57"/>
      <c r="E1394" s="57"/>
      <c r="F1394" s="57"/>
      <c r="G1394" s="57"/>
      <c r="H1394" s="57"/>
      <c r="I1394" s="57"/>
      <c r="J1394" s="57"/>
      <c r="L1394" s="57"/>
      <c r="M1394" s="57"/>
      <c r="N1394" s="57"/>
      <c r="O1394" s="57"/>
      <c r="P1394" s="57"/>
      <c r="Q1394" s="57"/>
      <c r="R1394" s="57"/>
      <c r="S1394" s="57"/>
      <c r="T1394" s="57"/>
      <c r="U1394" s="57"/>
      <c r="V1394" s="57"/>
      <c r="W1394" s="57"/>
      <c r="X1394" s="57"/>
      <c r="Y1394" s="98"/>
      <c r="AA1394" s="98"/>
      <c r="AR1394" s="98"/>
      <c r="AS1394" s="57"/>
      <c r="AU1394" s="57"/>
      <c r="BF1394" s="98"/>
      <c r="BG1394" s="98"/>
      <c r="BH1394" s="98"/>
      <c r="BI1394" s="98"/>
      <c r="BJ1394" s="98"/>
      <c r="BK1394" s="98"/>
      <c r="BL1394" s="98"/>
      <c r="BM1394" s="57"/>
    </row>
    <row r="1395" spans="1:65" ht="11.25" x14ac:dyDescent="0.2">
      <c r="A1395" s="57"/>
      <c r="B1395" s="57"/>
      <c r="C1395" s="57"/>
      <c r="D1395" s="57"/>
      <c r="E1395" s="57"/>
      <c r="F1395" s="57"/>
      <c r="G1395" s="57"/>
      <c r="H1395" s="57"/>
      <c r="I1395" s="57"/>
      <c r="J1395" s="57"/>
      <c r="L1395" s="57"/>
      <c r="M1395" s="57"/>
      <c r="N1395" s="57"/>
      <c r="O1395" s="57"/>
      <c r="P1395" s="57"/>
      <c r="Q1395" s="57"/>
      <c r="R1395" s="57"/>
      <c r="S1395" s="57"/>
      <c r="T1395" s="57"/>
      <c r="U1395" s="57"/>
      <c r="V1395" s="57"/>
      <c r="W1395" s="57"/>
      <c r="X1395" s="57"/>
      <c r="Y1395" s="98"/>
      <c r="AA1395" s="98"/>
      <c r="AR1395" s="98"/>
      <c r="AS1395" s="57"/>
      <c r="AU1395" s="57"/>
      <c r="BF1395" s="98"/>
      <c r="BG1395" s="98"/>
      <c r="BH1395" s="98"/>
      <c r="BI1395" s="98"/>
      <c r="BJ1395" s="98"/>
      <c r="BK1395" s="98"/>
      <c r="BL1395" s="98"/>
      <c r="BM1395" s="57"/>
    </row>
    <row r="1396" spans="1:65" ht="11.25" x14ac:dyDescent="0.2">
      <c r="A1396" s="57"/>
      <c r="B1396" s="57"/>
      <c r="C1396" s="57"/>
      <c r="D1396" s="57"/>
      <c r="E1396" s="57"/>
      <c r="F1396" s="57"/>
      <c r="G1396" s="57"/>
      <c r="H1396" s="57"/>
      <c r="I1396" s="57"/>
      <c r="J1396" s="57"/>
      <c r="L1396" s="57"/>
      <c r="M1396" s="57"/>
      <c r="N1396" s="57"/>
      <c r="O1396" s="57"/>
      <c r="P1396" s="57"/>
      <c r="Q1396" s="57"/>
      <c r="R1396" s="57"/>
      <c r="S1396" s="57"/>
      <c r="T1396" s="57"/>
      <c r="U1396" s="57"/>
      <c r="V1396" s="57"/>
      <c r="W1396" s="57"/>
      <c r="X1396" s="57"/>
      <c r="Y1396" s="98"/>
      <c r="AA1396" s="98"/>
      <c r="AR1396" s="98"/>
      <c r="AS1396" s="57"/>
      <c r="AU1396" s="57"/>
      <c r="BF1396" s="98"/>
      <c r="BG1396" s="98"/>
      <c r="BH1396" s="98"/>
      <c r="BI1396" s="98"/>
      <c r="BJ1396" s="98"/>
      <c r="BK1396" s="98"/>
      <c r="BL1396" s="98"/>
      <c r="BM1396" s="57"/>
    </row>
    <row r="1397" spans="1:65" ht="11.25" x14ac:dyDescent="0.2">
      <c r="A1397" s="57"/>
      <c r="B1397" s="57"/>
      <c r="C1397" s="57"/>
      <c r="D1397" s="57"/>
      <c r="E1397" s="57"/>
      <c r="F1397" s="57"/>
      <c r="G1397" s="57"/>
      <c r="H1397" s="57"/>
      <c r="I1397" s="57"/>
      <c r="J1397" s="57"/>
      <c r="L1397" s="57"/>
      <c r="M1397" s="57"/>
      <c r="N1397" s="57"/>
      <c r="O1397" s="57"/>
      <c r="P1397" s="57"/>
      <c r="Q1397" s="57"/>
      <c r="R1397" s="57"/>
      <c r="S1397" s="57"/>
      <c r="T1397" s="57"/>
      <c r="U1397" s="57"/>
      <c r="V1397" s="57"/>
      <c r="W1397" s="57"/>
      <c r="X1397" s="57"/>
      <c r="Y1397" s="98"/>
      <c r="AA1397" s="98"/>
      <c r="AR1397" s="98"/>
      <c r="AS1397" s="57"/>
      <c r="AU1397" s="57"/>
      <c r="BF1397" s="98"/>
      <c r="BG1397" s="98"/>
      <c r="BH1397" s="98"/>
      <c r="BI1397" s="98"/>
      <c r="BJ1397" s="98"/>
      <c r="BK1397" s="98"/>
      <c r="BL1397" s="98"/>
      <c r="BM1397" s="57"/>
    </row>
    <row r="1398" spans="1:65" ht="11.25" x14ac:dyDescent="0.2">
      <c r="A1398" s="57"/>
      <c r="B1398" s="57"/>
      <c r="C1398" s="57"/>
      <c r="D1398" s="57"/>
      <c r="E1398" s="57"/>
      <c r="F1398" s="57"/>
      <c r="G1398" s="57"/>
      <c r="H1398" s="57"/>
      <c r="I1398" s="57"/>
      <c r="J1398" s="57"/>
      <c r="L1398" s="57"/>
      <c r="M1398" s="57"/>
      <c r="N1398" s="57"/>
      <c r="O1398" s="57"/>
      <c r="P1398" s="57"/>
      <c r="Q1398" s="57"/>
      <c r="R1398" s="57"/>
      <c r="S1398" s="57"/>
      <c r="T1398" s="57"/>
      <c r="U1398" s="57"/>
      <c r="V1398" s="57"/>
      <c r="W1398" s="57"/>
      <c r="X1398" s="57"/>
      <c r="Y1398" s="98"/>
      <c r="AA1398" s="98"/>
      <c r="AR1398" s="98"/>
      <c r="AS1398" s="57"/>
      <c r="AU1398" s="57"/>
      <c r="BF1398" s="98"/>
      <c r="BG1398" s="98"/>
      <c r="BH1398" s="98"/>
      <c r="BI1398" s="98"/>
      <c r="BJ1398" s="98"/>
      <c r="BK1398" s="98"/>
      <c r="BL1398" s="98"/>
      <c r="BM1398" s="57"/>
    </row>
    <row r="1399" spans="1:65" ht="11.25" x14ac:dyDescent="0.2">
      <c r="A1399" s="57"/>
      <c r="B1399" s="57"/>
      <c r="C1399" s="57"/>
      <c r="D1399" s="57"/>
      <c r="E1399" s="57"/>
      <c r="F1399" s="57"/>
      <c r="G1399" s="57"/>
      <c r="H1399" s="57"/>
      <c r="I1399" s="57"/>
      <c r="J1399" s="57"/>
      <c r="L1399" s="57"/>
      <c r="M1399" s="57"/>
      <c r="N1399" s="57"/>
      <c r="O1399" s="57"/>
      <c r="P1399" s="57"/>
      <c r="Q1399" s="57"/>
      <c r="R1399" s="57"/>
      <c r="S1399" s="57"/>
      <c r="T1399" s="57"/>
      <c r="U1399" s="57"/>
      <c r="V1399" s="57"/>
      <c r="W1399" s="57"/>
      <c r="X1399" s="57"/>
      <c r="Y1399" s="98"/>
      <c r="AA1399" s="98"/>
      <c r="AR1399" s="98"/>
      <c r="AS1399" s="57"/>
      <c r="AU1399" s="57"/>
      <c r="BF1399" s="98"/>
      <c r="BG1399" s="98"/>
      <c r="BH1399" s="98"/>
      <c r="BI1399" s="98"/>
      <c r="BJ1399" s="98"/>
      <c r="BK1399" s="98"/>
      <c r="BL1399" s="98"/>
      <c r="BM1399" s="57"/>
    </row>
    <row r="1400" spans="1:65" ht="11.25" x14ac:dyDescent="0.2">
      <c r="A1400" s="57"/>
      <c r="B1400" s="57"/>
      <c r="C1400" s="57"/>
      <c r="D1400" s="57"/>
      <c r="E1400" s="57"/>
      <c r="F1400" s="57"/>
      <c r="G1400" s="57"/>
      <c r="H1400" s="57"/>
      <c r="I1400" s="57"/>
      <c r="J1400" s="57"/>
      <c r="L1400" s="57"/>
      <c r="M1400" s="57"/>
      <c r="N1400" s="57"/>
      <c r="O1400" s="57"/>
      <c r="P1400" s="57"/>
      <c r="Q1400" s="57"/>
      <c r="R1400" s="57"/>
      <c r="S1400" s="57"/>
      <c r="T1400" s="57"/>
      <c r="U1400" s="57"/>
      <c r="V1400" s="57"/>
      <c r="W1400" s="57"/>
      <c r="X1400" s="57"/>
      <c r="Y1400" s="98"/>
      <c r="AA1400" s="98"/>
      <c r="AR1400" s="98"/>
      <c r="AS1400" s="57"/>
      <c r="AU1400" s="57"/>
      <c r="BF1400" s="98"/>
      <c r="BG1400" s="98"/>
      <c r="BH1400" s="98"/>
      <c r="BI1400" s="98"/>
      <c r="BJ1400" s="98"/>
      <c r="BK1400" s="98"/>
      <c r="BL1400" s="98"/>
      <c r="BM1400" s="57"/>
    </row>
    <row r="1401" spans="1:65" ht="11.25" x14ac:dyDescent="0.2">
      <c r="A1401" s="57"/>
      <c r="B1401" s="57"/>
      <c r="C1401" s="57"/>
      <c r="D1401" s="57"/>
      <c r="E1401" s="57"/>
      <c r="F1401" s="57"/>
      <c r="G1401" s="57"/>
      <c r="H1401" s="57"/>
      <c r="I1401" s="57"/>
      <c r="J1401" s="57"/>
      <c r="L1401" s="57"/>
      <c r="M1401" s="57"/>
      <c r="N1401" s="57"/>
      <c r="O1401" s="57"/>
      <c r="P1401" s="57"/>
      <c r="Q1401" s="57"/>
      <c r="R1401" s="57"/>
      <c r="S1401" s="57"/>
      <c r="T1401" s="57"/>
      <c r="U1401" s="57"/>
      <c r="V1401" s="57"/>
      <c r="W1401" s="57"/>
      <c r="X1401" s="57"/>
      <c r="Y1401" s="98"/>
      <c r="AA1401" s="98"/>
      <c r="AR1401" s="98"/>
      <c r="AS1401" s="57"/>
      <c r="AU1401" s="57"/>
      <c r="BF1401" s="98"/>
      <c r="BG1401" s="98"/>
      <c r="BH1401" s="98"/>
      <c r="BI1401" s="98"/>
      <c r="BJ1401" s="98"/>
      <c r="BK1401" s="98"/>
      <c r="BL1401" s="98"/>
      <c r="BM1401" s="57"/>
    </row>
    <row r="1402" spans="1:65" ht="11.25" x14ac:dyDescent="0.2">
      <c r="A1402" s="57"/>
      <c r="B1402" s="57"/>
      <c r="C1402" s="57"/>
      <c r="D1402" s="57"/>
      <c r="E1402" s="57"/>
      <c r="F1402" s="57"/>
      <c r="G1402" s="57"/>
      <c r="H1402" s="57"/>
      <c r="I1402" s="57"/>
      <c r="J1402" s="57"/>
      <c r="L1402" s="57"/>
      <c r="M1402" s="57"/>
      <c r="N1402" s="57"/>
      <c r="O1402" s="57"/>
      <c r="P1402" s="57"/>
      <c r="Q1402" s="57"/>
      <c r="R1402" s="57"/>
      <c r="S1402" s="57"/>
      <c r="T1402" s="57"/>
      <c r="U1402" s="57"/>
      <c r="V1402" s="57"/>
      <c r="W1402" s="57"/>
      <c r="X1402" s="57"/>
      <c r="Y1402" s="98"/>
      <c r="AA1402" s="98"/>
      <c r="AR1402" s="98"/>
      <c r="AS1402" s="57"/>
      <c r="AU1402" s="57"/>
      <c r="BF1402" s="98"/>
      <c r="BG1402" s="98"/>
      <c r="BH1402" s="98"/>
      <c r="BI1402" s="98"/>
      <c r="BJ1402" s="98"/>
      <c r="BK1402" s="98"/>
      <c r="BL1402" s="98"/>
      <c r="BM1402" s="57"/>
    </row>
    <row r="1403" spans="1:65" ht="11.25" x14ac:dyDescent="0.2">
      <c r="A1403" s="57"/>
      <c r="B1403" s="57"/>
      <c r="C1403" s="57"/>
      <c r="D1403" s="57"/>
      <c r="E1403" s="57"/>
      <c r="F1403" s="57"/>
      <c r="G1403" s="57"/>
      <c r="H1403" s="57"/>
      <c r="I1403" s="57"/>
      <c r="J1403" s="57"/>
      <c r="L1403" s="57"/>
      <c r="M1403" s="57"/>
      <c r="N1403" s="57"/>
      <c r="O1403" s="57"/>
      <c r="P1403" s="57"/>
      <c r="Q1403" s="57"/>
      <c r="R1403" s="57"/>
      <c r="S1403" s="57"/>
      <c r="T1403" s="57"/>
      <c r="U1403" s="57"/>
      <c r="V1403" s="57"/>
      <c r="W1403" s="57"/>
      <c r="X1403" s="57"/>
      <c r="Y1403" s="98"/>
      <c r="AA1403" s="98"/>
      <c r="AR1403" s="98"/>
      <c r="AS1403" s="57"/>
      <c r="AU1403" s="57"/>
      <c r="BF1403" s="98"/>
      <c r="BG1403" s="98"/>
      <c r="BH1403" s="98"/>
      <c r="BI1403" s="98"/>
      <c r="BJ1403" s="98"/>
      <c r="BK1403" s="98"/>
      <c r="BL1403" s="98"/>
      <c r="BM1403" s="57"/>
    </row>
    <row r="1404" spans="1:65" ht="11.25" x14ac:dyDescent="0.2">
      <c r="A1404" s="57"/>
      <c r="B1404" s="57"/>
      <c r="C1404" s="57"/>
      <c r="D1404" s="57"/>
      <c r="E1404" s="57"/>
      <c r="F1404" s="57"/>
      <c r="G1404" s="57"/>
      <c r="H1404" s="57"/>
      <c r="I1404" s="57"/>
      <c r="J1404" s="57"/>
      <c r="L1404" s="57"/>
      <c r="M1404" s="57"/>
      <c r="N1404" s="57"/>
      <c r="O1404" s="57"/>
      <c r="P1404" s="57"/>
      <c r="Q1404" s="57"/>
      <c r="R1404" s="57"/>
      <c r="S1404" s="57"/>
      <c r="T1404" s="57"/>
      <c r="U1404" s="57"/>
      <c r="V1404" s="57"/>
      <c r="W1404" s="57"/>
      <c r="X1404" s="57"/>
      <c r="Y1404" s="98"/>
      <c r="AA1404" s="98"/>
      <c r="AR1404" s="98"/>
      <c r="AS1404" s="57"/>
      <c r="AU1404" s="57"/>
      <c r="BF1404" s="98"/>
      <c r="BG1404" s="98"/>
      <c r="BH1404" s="98"/>
      <c r="BI1404" s="98"/>
      <c r="BJ1404" s="98"/>
      <c r="BK1404" s="98"/>
      <c r="BL1404" s="98"/>
      <c r="BM1404" s="57"/>
    </row>
    <row r="1405" spans="1:65" ht="11.25" x14ac:dyDescent="0.2">
      <c r="A1405" s="57"/>
      <c r="B1405" s="57"/>
      <c r="C1405" s="57"/>
      <c r="D1405" s="57"/>
      <c r="E1405" s="57"/>
      <c r="F1405" s="57"/>
      <c r="G1405" s="57"/>
      <c r="H1405" s="57"/>
      <c r="I1405" s="57"/>
      <c r="J1405" s="57"/>
      <c r="L1405" s="57"/>
      <c r="M1405" s="57"/>
      <c r="N1405" s="57"/>
      <c r="O1405" s="57"/>
      <c r="P1405" s="57"/>
      <c r="Q1405" s="57"/>
      <c r="R1405" s="57"/>
      <c r="S1405" s="57"/>
      <c r="T1405" s="57"/>
      <c r="U1405" s="57"/>
      <c r="V1405" s="57"/>
      <c r="W1405" s="57"/>
      <c r="X1405" s="57"/>
      <c r="Y1405" s="98"/>
      <c r="AA1405" s="98"/>
      <c r="AR1405" s="98"/>
      <c r="AS1405" s="57"/>
      <c r="AU1405" s="57"/>
      <c r="BF1405" s="98"/>
      <c r="BG1405" s="98"/>
      <c r="BH1405" s="98"/>
      <c r="BI1405" s="98"/>
      <c r="BJ1405" s="98"/>
      <c r="BK1405" s="98"/>
      <c r="BL1405" s="98"/>
      <c r="BM1405" s="57"/>
    </row>
    <row r="1406" spans="1:65" ht="11.25" x14ac:dyDescent="0.2">
      <c r="A1406" s="57"/>
      <c r="B1406" s="57"/>
      <c r="C1406" s="57"/>
      <c r="D1406" s="57"/>
      <c r="E1406" s="57"/>
      <c r="F1406" s="57"/>
      <c r="G1406" s="57"/>
      <c r="H1406" s="57"/>
      <c r="I1406" s="57"/>
      <c r="J1406" s="57"/>
      <c r="L1406" s="57"/>
      <c r="M1406" s="57"/>
      <c r="N1406" s="57"/>
      <c r="O1406" s="57"/>
      <c r="P1406" s="57"/>
      <c r="Q1406" s="57"/>
      <c r="R1406" s="57"/>
      <c r="S1406" s="57"/>
      <c r="T1406" s="57"/>
      <c r="U1406" s="57"/>
      <c r="V1406" s="57"/>
      <c r="W1406" s="57"/>
      <c r="X1406" s="57"/>
      <c r="Y1406" s="98"/>
      <c r="AA1406" s="98"/>
      <c r="AR1406" s="98"/>
      <c r="AS1406" s="57"/>
      <c r="AU1406" s="57"/>
      <c r="BF1406" s="98"/>
      <c r="BG1406" s="98"/>
      <c r="BH1406" s="98"/>
      <c r="BI1406" s="98"/>
      <c r="BJ1406" s="98"/>
      <c r="BK1406" s="98"/>
      <c r="BL1406" s="98"/>
      <c r="BM1406" s="57"/>
    </row>
    <row r="1407" spans="1:65" ht="11.25" x14ac:dyDescent="0.2">
      <c r="A1407" s="57"/>
      <c r="B1407" s="57"/>
      <c r="C1407" s="57"/>
      <c r="D1407" s="57"/>
      <c r="E1407" s="57"/>
      <c r="F1407" s="57"/>
      <c r="G1407" s="57"/>
      <c r="H1407" s="57"/>
      <c r="I1407" s="57"/>
      <c r="J1407" s="57"/>
      <c r="L1407" s="57"/>
      <c r="M1407" s="57"/>
      <c r="N1407" s="57"/>
      <c r="O1407" s="57"/>
      <c r="P1407" s="57"/>
      <c r="Q1407" s="57"/>
      <c r="R1407" s="57"/>
      <c r="S1407" s="57"/>
      <c r="T1407" s="57"/>
      <c r="U1407" s="57"/>
      <c r="V1407" s="57"/>
      <c r="W1407" s="57"/>
      <c r="X1407" s="57"/>
      <c r="Y1407" s="98"/>
      <c r="AA1407" s="98"/>
      <c r="AR1407" s="98"/>
      <c r="AS1407" s="57"/>
      <c r="AU1407" s="57"/>
      <c r="BF1407" s="98"/>
      <c r="BG1407" s="98"/>
      <c r="BH1407" s="98"/>
      <c r="BI1407" s="98"/>
      <c r="BJ1407" s="98"/>
      <c r="BK1407" s="98"/>
      <c r="BL1407" s="98"/>
      <c r="BM1407" s="57"/>
    </row>
    <row r="1408" spans="1:65" ht="11.25" x14ac:dyDescent="0.2">
      <c r="A1408" s="57"/>
      <c r="B1408" s="57"/>
      <c r="C1408" s="57"/>
      <c r="D1408" s="57"/>
      <c r="E1408" s="57"/>
      <c r="F1408" s="57"/>
      <c r="G1408" s="57"/>
      <c r="H1408" s="57"/>
      <c r="I1408" s="57"/>
      <c r="J1408" s="57"/>
      <c r="L1408" s="57"/>
      <c r="M1408" s="57"/>
      <c r="N1408" s="57"/>
      <c r="O1408" s="57"/>
      <c r="P1408" s="57"/>
      <c r="Q1408" s="57"/>
      <c r="R1408" s="57"/>
      <c r="S1408" s="57"/>
      <c r="T1408" s="57"/>
      <c r="U1408" s="57"/>
      <c r="V1408" s="57"/>
      <c r="W1408" s="57"/>
      <c r="X1408" s="57"/>
      <c r="Y1408" s="98"/>
      <c r="AA1408" s="98"/>
      <c r="AR1408" s="98"/>
      <c r="AS1408" s="57"/>
      <c r="AU1408" s="57"/>
      <c r="BF1408" s="98"/>
      <c r="BG1408" s="98"/>
      <c r="BH1408" s="98"/>
      <c r="BI1408" s="98"/>
      <c r="BJ1408" s="98"/>
      <c r="BK1408" s="98"/>
      <c r="BL1408" s="98"/>
      <c r="BM1408" s="57"/>
    </row>
    <row r="1409" spans="1:65" ht="11.25" x14ac:dyDescent="0.2">
      <c r="A1409" s="57"/>
      <c r="B1409" s="57"/>
      <c r="C1409" s="57"/>
      <c r="D1409" s="57"/>
      <c r="E1409" s="57"/>
      <c r="F1409" s="57"/>
      <c r="G1409" s="57"/>
      <c r="H1409" s="57"/>
      <c r="I1409" s="57"/>
      <c r="J1409" s="57"/>
      <c r="L1409" s="57"/>
      <c r="M1409" s="57"/>
      <c r="N1409" s="57"/>
      <c r="O1409" s="57"/>
      <c r="P1409" s="57"/>
      <c r="Q1409" s="57"/>
      <c r="R1409" s="57"/>
      <c r="S1409" s="57"/>
      <c r="T1409" s="57"/>
      <c r="U1409" s="57"/>
      <c r="V1409" s="57"/>
      <c r="W1409" s="57"/>
      <c r="X1409" s="57"/>
      <c r="Y1409" s="98"/>
      <c r="AA1409" s="98"/>
      <c r="AR1409" s="98"/>
      <c r="AS1409" s="57"/>
      <c r="AU1409" s="57"/>
      <c r="BF1409" s="98"/>
      <c r="BG1409" s="98"/>
      <c r="BH1409" s="98"/>
      <c r="BI1409" s="98"/>
      <c r="BJ1409" s="98"/>
      <c r="BK1409" s="98"/>
      <c r="BL1409" s="98"/>
      <c r="BM1409" s="57"/>
    </row>
    <row r="1410" spans="1:65" ht="11.25" x14ac:dyDescent="0.2">
      <c r="A1410" s="57"/>
      <c r="B1410" s="57"/>
      <c r="C1410" s="57"/>
      <c r="D1410" s="57"/>
      <c r="E1410" s="57"/>
      <c r="F1410" s="57"/>
      <c r="G1410" s="57"/>
      <c r="H1410" s="57"/>
      <c r="I1410" s="57"/>
      <c r="J1410" s="57"/>
      <c r="L1410" s="57"/>
      <c r="M1410" s="57"/>
      <c r="N1410" s="57"/>
      <c r="O1410" s="57"/>
      <c r="P1410" s="57"/>
      <c r="Q1410" s="57"/>
      <c r="R1410" s="57"/>
      <c r="S1410" s="57"/>
      <c r="T1410" s="57"/>
      <c r="U1410" s="57"/>
      <c r="V1410" s="57"/>
      <c r="W1410" s="57"/>
      <c r="X1410" s="57"/>
      <c r="Y1410" s="98"/>
      <c r="AA1410" s="98"/>
      <c r="AR1410" s="98"/>
      <c r="AS1410" s="57"/>
      <c r="AU1410" s="57"/>
      <c r="BF1410" s="98"/>
      <c r="BG1410" s="98"/>
      <c r="BH1410" s="98"/>
      <c r="BI1410" s="98"/>
      <c r="BJ1410" s="98"/>
      <c r="BK1410" s="98"/>
      <c r="BL1410" s="98"/>
      <c r="BM1410" s="57"/>
    </row>
    <row r="1411" spans="1:65" ht="11.25" x14ac:dyDescent="0.2">
      <c r="A1411" s="57"/>
      <c r="B1411" s="57"/>
      <c r="C1411" s="57"/>
      <c r="D1411" s="57"/>
      <c r="E1411" s="57"/>
      <c r="F1411" s="57"/>
      <c r="G1411" s="57"/>
      <c r="H1411" s="57"/>
      <c r="I1411" s="57"/>
      <c r="J1411" s="57"/>
      <c r="L1411" s="57"/>
      <c r="M1411" s="57"/>
      <c r="N1411" s="57"/>
      <c r="O1411" s="57"/>
      <c r="P1411" s="57"/>
      <c r="Q1411" s="57"/>
      <c r="R1411" s="57"/>
      <c r="S1411" s="57"/>
      <c r="T1411" s="57"/>
      <c r="U1411" s="57"/>
      <c r="V1411" s="57"/>
      <c r="W1411" s="57"/>
      <c r="X1411" s="57"/>
      <c r="Y1411" s="98"/>
      <c r="AA1411" s="98"/>
      <c r="AR1411" s="98"/>
      <c r="AS1411" s="57"/>
      <c r="AU1411" s="57"/>
      <c r="BF1411" s="98"/>
      <c r="BG1411" s="98"/>
      <c r="BH1411" s="98"/>
      <c r="BI1411" s="98"/>
      <c r="BJ1411" s="98"/>
      <c r="BK1411" s="98"/>
      <c r="BL1411" s="98"/>
      <c r="BM1411" s="57"/>
    </row>
    <row r="1412" spans="1:65" ht="11.25" x14ac:dyDescent="0.2">
      <c r="A1412" s="57"/>
      <c r="B1412" s="57"/>
      <c r="C1412" s="57"/>
      <c r="D1412" s="57"/>
      <c r="E1412" s="57"/>
      <c r="F1412" s="57"/>
      <c r="G1412" s="57"/>
      <c r="H1412" s="57"/>
      <c r="I1412" s="57"/>
      <c r="J1412" s="57"/>
      <c r="L1412" s="57"/>
      <c r="M1412" s="57"/>
      <c r="N1412" s="57"/>
      <c r="O1412" s="57"/>
      <c r="P1412" s="57"/>
      <c r="Q1412" s="57"/>
      <c r="R1412" s="57"/>
      <c r="S1412" s="57"/>
      <c r="T1412" s="57"/>
      <c r="U1412" s="57"/>
      <c r="V1412" s="57"/>
      <c r="W1412" s="57"/>
      <c r="X1412" s="57"/>
      <c r="Y1412" s="98"/>
      <c r="AA1412" s="98"/>
      <c r="AR1412" s="98"/>
      <c r="AS1412" s="57"/>
      <c r="AU1412" s="57"/>
      <c r="BF1412" s="98"/>
      <c r="BG1412" s="98"/>
      <c r="BH1412" s="98"/>
      <c r="BI1412" s="98"/>
      <c r="BJ1412" s="98"/>
      <c r="BK1412" s="98"/>
      <c r="BL1412" s="98"/>
      <c r="BM1412" s="57"/>
    </row>
    <row r="1413" spans="1:65" ht="11.25" x14ac:dyDescent="0.2">
      <c r="A1413" s="57"/>
      <c r="B1413" s="57"/>
      <c r="C1413" s="57"/>
      <c r="D1413" s="57"/>
      <c r="E1413" s="57"/>
      <c r="F1413" s="57"/>
      <c r="G1413" s="57"/>
      <c r="H1413" s="57"/>
      <c r="I1413" s="57"/>
      <c r="J1413" s="57"/>
      <c r="L1413" s="57"/>
      <c r="M1413" s="57"/>
      <c r="N1413" s="57"/>
      <c r="O1413" s="57"/>
      <c r="P1413" s="57"/>
      <c r="Q1413" s="57"/>
      <c r="R1413" s="57"/>
      <c r="S1413" s="57"/>
      <c r="T1413" s="57"/>
      <c r="U1413" s="57"/>
      <c r="V1413" s="57"/>
      <c r="W1413" s="57"/>
      <c r="X1413" s="57"/>
      <c r="Y1413" s="98"/>
      <c r="AA1413" s="98"/>
      <c r="AR1413" s="98"/>
      <c r="AS1413" s="57"/>
      <c r="AU1413" s="57"/>
      <c r="BF1413" s="98"/>
      <c r="BG1413" s="98"/>
      <c r="BH1413" s="98"/>
      <c r="BI1413" s="98"/>
      <c r="BJ1413" s="98"/>
      <c r="BK1413" s="98"/>
      <c r="BL1413" s="98"/>
      <c r="BM1413" s="57"/>
    </row>
    <row r="1414" spans="1:65" ht="11.25" x14ac:dyDescent="0.2">
      <c r="A1414" s="57"/>
      <c r="B1414" s="57"/>
      <c r="C1414" s="57"/>
      <c r="D1414" s="57"/>
      <c r="E1414" s="57"/>
      <c r="F1414" s="57"/>
      <c r="G1414" s="57"/>
      <c r="H1414" s="57"/>
      <c r="I1414" s="57"/>
      <c r="J1414" s="57"/>
      <c r="L1414" s="57"/>
      <c r="M1414" s="57"/>
      <c r="N1414" s="57"/>
      <c r="O1414" s="57"/>
      <c r="P1414" s="57"/>
      <c r="Q1414" s="57"/>
      <c r="R1414" s="57"/>
      <c r="S1414" s="57"/>
      <c r="T1414" s="57"/>
      <c r="U1414" s="57"/>
      <c r="V1414" s="57"/>
      <c r="W1414" s="57"/>
      <c r="X1414" s="57"/>
      <c r="Y1414" s="98"/>
      <c r="AA1414" s="98"/>
      <c r="AR1414" s="98"/>
      <c r="AS1414" s="57"/>
      <c r="AU1414" s="57"/>
      <c r="BF1414" s="98"/>
      <c r="BG1414" s="98"/>
      <c r="BH1414" s="98"/>
      <c r="BI1414" s="98"/>
      <c r="BJ1414" s="98"/>
      <c r="BK1414" s="98"/>
      <c r="BL1414" s="98"/>
      <c r="BM1414" s="57"/>
    </row>
    <row r="1415" spans="1:65" ht="11.25" x14ac:dyDescent="0.2">
      <c r="A1415" s="57"/>
      <c r="B1415" s="57"/>
      <c r="C1415" s="57"/>
      <c r="D1415" s="57"/>
      <c r="E1415" s="57"/>
      <c r="F1415" s="57"/>
      <c r="G1415" s="57"/>
      <c r="H1415" s="57"/>
      <c r="I1415" s="57"/>
      <c r="J1415" s="57"/>
      <c r="L1415" s="57"/>
      <c r="M1415" s="57"/>
      <c r="N1415" s="57"/>
      <c r="O1415" s="57"/>
      <c r="P1415" s="57"/>
      <c r="Q1415" s="57"/>
      <c r="R1415" s="57"/>
      <c r="S1415" s="57"/>
      <c r="T1415" s="57"/>
      <c r="U1415" s="57"/>
      <c r="V1415" s="57"/>
      <c r="W1415" s="57"/>
      <c r="X1415" s="57"/>
      <c r="Y1415" s="98"/>
      <c r="AA1415" s="98"/>
      <c r="AR1415" s="98"/>
      <c r="AS1415" s="57"/>
      <c r="AU1415" s="57"/>
      <c r="BF1415" s="98"/>
      <c r="BG1415" s="98"/>
      <c r="BH1415" s="98"/>
      <c r="BI1415" s="98"/>
      <c r="BJ1415" s="98"/>
      <c r="BK1415" s="98"/>
      <c r="BL1415" s="98"/>
      <c r="BM1415" s="57"/>
    </row>
    <row r="1416" spans="1:65" ht="11.25" x14ac:dyDescent="0.2">
      <c r="A1416" s="57"/>
      <c r="B1416" s="57"/>
      <c r="C1416" s="57"/>
      <c r="D1416" s="57"/>
      <c r="E1416" s="57"/>
      <c r="F1416" s="57"/>
      <c r="G1416" s="57"/>
      <c r="H1416" s="57"/>
      <c r="I1416" s="57"/>
      <c r="J1416" s="57"/>
      <c r="L1416" s="57"/>
      <c r="M1416" s="57"/>
      <c r="N1416" s="57"/>
      <c r="O1416" s="57"/>
      <c r="P1416" s="57"/>
      <c r="Q1416" s="57"/>
      <c r="R1416" s="57"/>
      <c r="S1416" s="57"/>
      <c r="T1416" s="57"/>
      <c r="U1416" s="57"/>
      <c r="V1416" s="57"/>
      <c r="W1416" s="57"/>
      <c r="X1416" s="57"/>
      <c r="Y1416" s="98"/>
      <c r="AA1416" s="98"/>
      <c r="AR1416" s="98"/>
      <c r="AS1416" s="57"/>
      <c r="AU1416" s="57"/>
      <c r="BF1416" s="98"/>
      <c r="BG1416" s="98"/>
      <c r="BH1416" s="98"/>
      <c r="BI1416" s="98"/>
      <c r="BJ1416" s="98"/>
      <c r="BK1416" s="98"/>
      <c r="BL1416" s="98"/>
      <c r="BM1416" s="57"/>
    </row>
    <row r="1417" spans="1:65" ht="11.25" x14ac:dyDescent="0.2">
      <c r="A1417" s="57"/>
      <c r="B1417" s="57"/>
      <c r="C1417" s="57"/>
      <c r="D1417" s="57"/>
      <c r="E1417" s="57"/>
      <c r="F1417" s="57"/>
      <c r="G1417" s="57"/>
      <c r="H1417" s="57"/>
      <c r="I1417" s="57"/>
      <c r="J1417" s="57"/>
      <c r="L1417" s="57"/>
      <c r="M1417" s="57"/>
      <c r="N1417" s="57"/>
      <c r="O1417" s="57"/>
      <c r="P1417" s="57"/>
      <c r="Q1417" s="57"/>
      <c r="R1417" s="57"/>
      <c r="S1417" s="57"/>
      <c r="T1417" s="57"/>
      <c r="U1417" s="57"/>
      <c r="V1417" s="57"/>
      <c r="W1417" s="57"/>
      <c r="X1417" s="57"/>
      <c r="Y1417" s="98"/>
      <c r="AA1417" s="98"/>
      <c r="AR1417" s="98"/>
      <c r="AS1417" s="57"/>
      <c r="AU1417" s="57"/>
      <c r="BF1417" s="98"/>
      <c r="BG1417" s="98"/>
      <c r="BH1417" s="98"/>
      <c r="BI1417" s="98"/>
      <c r="BJ1417" s="98"/>
      <c r="BK1417" s="98"/>
      <c r="BL1417" s="98"/>
      <c r="BM1417" s="57"/>
    </row>
    <row r="1418" spans="1:65" ht="11.25" x14ac:dyDescent="0.2">
      <c r="A1418" s="57"/>
      <c r="B1418" s="57"/>
      <c r="C1418" s="57"/>
      <c r="D1418" s="57"/>
      <c r="E1418" s="57"/>
      <c r="F1418" s="57"/>
      <c r="G1418" s="57"/>
      <c r="H1418" s="57"/>
      <c r="I1418" s="57"/>
      <c r="J1418" s="57"/>
      <c r="L1418" s="57"/>
      <c r="M1418" s="57"/>
      <c r="N1418" s="57"/>
      <c r="O1418" s="57"/>
      <c r="P1418" s="57"/>
      <c r="Q1418" s="57"/>
      <c r="R1418" s="57"/>
      <c r="S1418" s="57"/>
      <c r="T1418" s="57"/>
      <c r="U1418" s="57"/>
      <c r="V1418" s="57"/>
      <c r="W1418" s="57"/>
      <c r="X1418" s="57"/>
      <c r="Y1418" s="98"/>
      <c r="AA1418" s="98"/>
      <c r="AR1418" s="98"/>
      <c r="AS1418" s="57"/>
      <c r="AU1418" s="57"/>
      <c r="BF1418" s="98"/>
      <c r="BG1418" s="98"/>
      <c r="BH1418" s="98"/>
      <c r="BI1418" s="98"/>
      <c r="BJ1418" s="98"/>
      <c r="BK1418" s="98"/>
      <c r="BL1418" s="98"/>
      <c r="BM1418" s="57"/>
    </row>
    <row r="1419" spans="1:65" ht="11.25" x14ac:dyDescent="0.2">
      <c r="A1419" s="57"/>
      <c r="B1419" s="57"/>
      <c r="C1419" s="57"/>
      <c r="D1419" s="57"/>
      <c r="E1419" s="57"/>
      <c r="F1419" s="57"/>
      <c r="G1419" s="57"/>
      <c r="H1419" s="57"/>
      <c r="I1419" s="57"/>
      <c r="J1419" s="57"/>
      <c r="L1419" s="57"/>
      <c r="M1419" s="57"/>
      <c r="N1419" s="57"/>
      <c r="O1419" s="57"/>
      <c r="P1419" s="57"/>
      <c r="Q1419" s="57"/>
      <c r="R1419" s="57"/>
      <c r="S1419" s="57"/>
      <c r="T1419" s="57"/>
      <c r="U1419" s="57"/>
      <c r="V1419" s="57"/>
      <c r="W1419" s="57"/>
      <c r="X1419" s="57"/>
      <c r="Y1419" s="98"/>
      <c r="AA1419" s="98"/>
      <c r="AR1419" s="98"/>
      <c r="AS1419" s="57"/>
      <c r="AU1419" s="57"/>
      <c r="BF1419" s="98"/>
      <c r="BG1419" s="98"/>
      <c r="BH1419" s="98"/>
      <c r="BI1419" s="98"/>
      <c r="BJ1419" s="98"/>
      <c r="BK1419" s="98"/>
      <c r="BL1419" s="98"/>
      <c r="BM1419" s="57"/>
    </row>
    <row r="1420" spans="1:65" ht="11.25" x14ac:dyDescent="0.2">
      <c r="A1420" s="57"/>
      <c r="B1420" s="57"/>
      <c r="C1420" s="57"/>
      <c r="D1420" s="57"/>
      <c r="E1420" s="57"/>
      <c r="F1420" s="57"/>
      <c r="G1420" s="57"/>
      <c r="H1420" s="57"/>
      <c r="I1420" s="57"/>
      <c r="J1420" s="57"/>
      <c r="L1420" s="57"/>
      <c r="M1420" s="57"/>
      <c r="N1420" s="57"/>
      <c r="O1420" s="57"/>
      <c r="P1420" s="57"/>
      <c r="Q1420" s="57"/>
      <c r="R1420" s="57"/>
      <c r="S1420" s="57"/>
      <c r="T1420" s="57"/>
      <c r="U1420" s="57"/>
      <c r="V1420" s="57"/>
      <c r="W1420" s="57"/>
      <c r="X1420" s="57"/>
      <c r="Y1420" s="98"/>
      <c r="AA1420" s="98"/>
      <c r="AR1420" s="98"/>
      <c r="AS1420" s="57"/>
      <c r="AU1420" s="57"/>
      <c r="BF1420" s="98"/>
      <c r="BG1420" s="98"/>
      <c r="BH1420" s="98"/>
      <c r="BI1420" s="98"/>
      <c r="BJ1420" s="98"/>
      <c r="BK1420" s="98"/>
      <c r="BL1420" s="98"/>
      <c r="BM1420" s="57"/>
    </row>
    <row r="1421" spans="1:65" ht="11.25" x14ac:dyDescent="0.2">
      <c r="A1421" s="57"/>
      <c r="B1421" s="57"/>
      <c r="C1421" s="57"/>
      <c r="D1421" s="57"/>
      <c r="E1421" s="57"/>
      <c r="F1421" s="57"/>
      <c r="G1421" s="57"/>
      <c r="H1421" s="57"/>
      <c r="I1421" s="57"/>
      <c r="J1421" s="57"/>
      <c r="L1421" s="57"/>
      <c r="M1421" s="57"/>
      <c r="N1421" s="57"/>
      <c r="O1421" s="57"/>
      <c r="P1421" s="57"/>
      <c r="Q1421" s="57"/>
      <c r="R1421" s="57"/>
      <c r="S1421" s="57"/>
      <c r="T1421" s="57"/>
      <c r="U1421" s="57"/>
      <c r="V1421" s="57"/>
      <c r="W1421" s="57"/>
      <c r="X1421" s="57"/>
      <c r="Y1421" s="98"/>
      <c r="AA1421" s="98"/>
      <c r="AR1421" s="98"/>
      <c r="AS1421" s="57"/>
      <c r="AU1421" s="57"/>
      <c r="BF1421" s="98"/>
      <c r="BG1421" s="98"/>
      <c r="BH1421" s="98"/>
      <c r="BI1421" s="98"/>
      <c r="BJ1421" s="98"/>
      <c r="BK1421" s="98"/>
      <c r="BL1421" s="98"/>
      <c r="BM1421" s="57"/>
    </row>
    <row r="1422" spans="1:65" ht="11.25" x14ac:dyDescent="0.2">
      <c r="A1422" s="57"/>
      <c r="B1422" s="57"/>
      <c r="C1422" s="57"/>
      <c r="D1422" s="57"/>
      <c r="E1422" s="57"/>
      <c r="F1422" s="57"/>
      <c r="G1422" s="57"/>
      <c r="H1422" s="57"/>
      <c r="I1422" s="57"/>
      <c r="J1422" s="57"/>
      <c r="L1422" s="57"/>
      <c r="M1422" s="57"/>
      <c r="N1422" s="57"/>
      <c r="O1422" s="57"/>
      <c r="P1422" s="57"/>
      <c r="Q1422" s="57"/>
      <c r="R1422" s="57"/>
      <c r="S1422" s="57"/>
      <c r="T1422" s="57"/>
      <c r="U1422" s="57"/>
      <c r="V1422" s="57"/>
      <c r="W1422" s="57"/>
      <c r="X1422" s="57"/>
      <c r="Y1422" s="98"/>
      <c r="AA1422" s="98"/>
      <c r="AR1422" s="98"/>
      <c r="AS1422" s="57"/>
      <c r="AU1422" s="57"/>
      <c r="BF1422" s="98"/>
      <c r="BG1422" s="98"/>
      <c r="BH1422" s="98"/>
      <c r="BI1422" s="98"/>
      <c r="BJ1422" s="98"/>
      <c r="BK1422" s="98"/>
      <c r="BL1422" s="98"/>
      <c r="BM1422" s="57"/>
    </row>
    <row r="1423" spans="1:65" ht="11.25" x14ac:dyDescent="0.2">
      <c r="A1423" s="57"/>
      <c r="B1423" s="57"/>
      <c r="C1423" s="57"/>
      <c r="D1423" s="57"/>
      <c r="E1423" s="57"/>
      <c r="F1423" s="57"/>
      <c r="G1423" s="57"/>
      <c r="H1423" s="57"/>
      <c r="I1423" s="57"/>
      <c r="J1423" s="57"/>
      <c r="L1423" s="57"/>
      <c r="M1423" s="57"/>
      <c r="N1423" s="57"/>
      <c r="O1423" s="57"/>
      <c r="P1423" s="57"/>
      <c r="Q1423" s="57"/>
      <c r="R1423" s="57"/>
      <c r="S1423" s="57"/>
      <c r="T1423" s="57"/>
      <c r="U1423" s="57"/>
      <c r="V1423" s="57"/>
      <c r="W1423" s="57"/>
      <c r="X1423" s="57"/>
      <c r="Y1423" s="98"/>
      <c r="AA1423" s="98"/>
      <c r="AR1423" s="98"/>
      <c r="AS1423" s="57"/>
      <c r="AU1423" s="57"/>
      <c r="BF1423" s="98"/>
      <c r="BG1423" s="98"/>
      <c r="BH1423" s="98"/>
      <c r="BI1423" s="98"/>
      <c r="BJ1423" s="98"/>
      <c r="BK1423" s="98"/>
      <c r="BL1423" s="98"/>
      <c r="BM1423" s="57"/>
    </row>
    <row r="1424" spans="1:65" ht="11.25" x14ac:dyDescent="0.2">
      <c r="A1424" s="57"/>
      <c r="B1424" s="57"/>
      <c r="C1424" s="57"/>
      <c r="D1424" s="57"/>
      <c r="E1424" s="57"/>
      <c r="F1424" s="57"/>
      <c r="G1424" s="57"/>
      <c r="H1424" s="57"/>
      <c r="I1424" s="57"/>
      <c r="J1424" s="57"/>
      <c r="L1424" s="57"/>
      <c r="M1424" s="57"/>
      <c r="N1424" s="57"/>
      <c r="O1424" s="57"/>
      <c r="P1424" s="57"/>
      <c r="Q1424" s="57"/>
      <c r="R1424" s="57"/>
      <c r="S1424" s="57"/>
      <c r="T1424" s="57"/>
      <c r="U1424" s="57"/>
      <c r="V1424" s="57"/>
      <c r="W1424" s="57"/>
      <c r="X1424" s="57"/>
      <c r="Y1424" s="98"/>
      <c r="AA1424" s="98"/>
      <c r="AR1424" s="98"/>
      <c r="AS1424" s="57"/>
      <c r="AU1424" s="57"/>
      <c r="BF1424" s="98"/>
      <c r="BG1424" s="98"/>
      <c r="BH1424" s="98"/>
      <c r="BI1424" s="98"/>
      <c r="BJ1424" s="98"/>
      <c r="BK1424" s="98"/>
      <c r="BL1424" s="98"/>
      <c r="BM1424" s="57"/>
    </row>
    <row r="1425" spans="1:65" ht="11.25" x14ac:dyDescent="0.2">
      <c r="A1425" s="57"/>
      <c r="B1425" s="57"/>
      <c r="C1425" s="57"/>
      <c r="D1425" s="57"/>
      <c r="E1425" s="57"/>
      <c r="F1425" s="57"/>
      <c r="G1425" s="57"/>
      <c r="H1425" s="57"/>
      <c r="I1425" s="57"/>
      <c r="J1425" s="57"/>
      <c r="L1425" s="57"/>
      <c r="M1425" s="57"/>
      <c r="N1425" s="57"/>
      <c r="O1425" s="57"/>
      <c r="P1425" s="57"/>
      <c r="Q1425" s="57"/>
      <c r="R1425" s="57"/>
      <c r="S1425" s="57"/>
      <c r="T1425" s="57"/>
      <c r="U1425" s="57"/>
      <c r="V1425" s="57"/>
      <c r="W1425" s="57"/>
      <c r="X1425" s="57"/>
      <c r="Y1425" s="98"/>
      <c r="AA1425" s="98"/>
      <c r="AR1425" s="98"/>
      <c r="AS1425" s="57"/>
      <c r="AU1425" s="57"/>
      <c r="BF1425" s="98"/>
      <c r="BG1425" s="98"/>
      <c r="BH1425" s="98"/>
      <c r="BI1425" s="98"/>
      <c r="BJ1425" s="98"/>
      <c r="BK1425" s="98"/>
      <c r="BL1425" s="98"/>
      <c r="BM1425" s="57"/>
    </row>
    <row r="1426" spans="1:65" ht="11.25" x14ac:dyDescent="0.2">
      <c r="A1426" s="57"/>
      <c r="B1426" s="57"/>
      <c r="C1426" s="57"/>
      <c r="D1426" s="57"/>
      <c r="E1426" s="57"/>
      <c r="F1426" s="57"/>
      <c r="G1426" s="57"/>
      <c r="H1426" s="57"/>
      <c r="I1426" s="57"/>
      <c r="J1426" s="57"/>
      <c r="L1426" s="57"/>
      <c r="M1426" s="57"/>
      <c r="N1426" s="57"/>
      <c r="O1426" s="57"/>
      <c r="P1426" s="57"/>
      <c r="Q1426" s="57"/>
      <c r="R1426" s="57"/>
      <c r="S1426" s="57"/>
      <c r="T1426" s="57"/>
      <c r="U1426" s="57"/>
      <c r="V1426" s="57"/>
      <c r="W1426" s="57"/>
      <c r="X1426" s="57"/>
      <c r="Y1426" s="98"/>
      <c r="AA1426" s="98"/>
      <c r="AR1426" s="98"/>
      <c r="AS1426" s="57"/>
      <c r="AU1426" s="57"/>
      <c r="BF1426" s="98"/>
      <c r="BG1426" s="98"/>
      <c r="BH1426" s="98"/>
      <c r="BI1426" s="98"/>
      <c r="BJ1426" s="98"/>
      <c r="BK1426" s="98"/>
      <c r="BL1426" s="98"/>
      <c r="BM1426" s="57"/>
    </row>
    <row r="1427" spans="1:65" ht="11.25" x14ac:dyDescent="0.2">
      <c r="A1427" s="57"/>
      <c r="B1427" s="57"/>
      <c r="C1427" s="57"/>
      <c r="D1427" s="57"/>
      <c r="E1427" s="57"/>
      <c r="F1427" s="57"/>
      <c r="G1427" s="57"/>
      <c r="H1427" s="57"/>
      <c r="I1427" s="57"/>
      <c r="J1427" s="57"/>
      <c r="L1427" s="57"/>
      <c r="M1427" s="57"/>
      <c r="N1427" s="57"/>
      <c r="O1427" s="57"/>
      <c r="P1427" s="57"/>
      <c r="Q1427" s="57"/>
      <c r="R1427" s="57"/>
      <c r="S1427" s="57"/>
      <c r="T1427" s="57"/>
      <c r="U1427" s="57"/>
      <c r="V1427" s="57"/>
      <c r="W1427" s="57"/>
      <c r="X1427" s="57"/>
      <c r="Y1427" s="98"/>
      <c r="AA1427" s="98"/>
      <c r="AR1427" s="98"/>
      <c r="AS1427" s="57"/>
      <c r="AU1427" s="57"/>
      <c r="BF1427" s="98"/>
      <c r="BG1427" s="98"/>
      <c r="BH1427" s="98"/>
      <c r="BI1427" s="98"/>
      <c r="BJ1427" s="98"/>
      <c r="BK1427" s="98"/>
      <c r="BL1427" s="98"/>
      <c r="BM1427" s="57"/>
    </row>
    <row r="1428" spans="1:65" ht="11.25" x14ac:dyDescent="0.2">
      <c r="A1428" s="57"/>
      <c r="B1428" s="57"/>
      <c r="C1428" s="57"/>
      <c r="D1428" s="57"/>
      <c r="E1428" s="57"/>
      <c r="F1428" s="57"/>
      <c r="G1428" s="57"/>
      <c r="H1428" s="57"/>
      <c r="I1428" s="57"/>
      <c r="J1428" s="57"/>
      <c r="L1428" s="57"/>
      <c r="M1428" s="57"/>
      <c r="N1428" s="57"/>
      <c r="O1428" s="57"/>
      <c r="P1428" s="57"/>
      <c r="Q1428" s="57"/>
      <c r="R1428" s="57"/>
      <c r="S1428" s="57"/>
      <c r="T1428" s="57"/>
      <c r="U1428" s="57"/>
      <c r="V1428" s="57"/>
      <c r="W1428" s="57"/>
      <c r="X1428" s="57"/>
      <c r="Y1428" s="98"/>
      <c r="AA1428" s="98"/>
      <c r="AR1428" s="98"/>
      <c r="AS1428" s="57"/>
      <c r="AU1428" s="57"/>
      <c r="BF1428" s="98"/>
      <c r="BG1428" s="98"/>
      <c r="BH1428" s="98"/>
      <c r="BI1428" s="98"/>
      <c r="BJ1428" s="98"/>
      <c r="BK1428" s="98"/>
      <c r="BL1428" s="98"/>
      <c r="BM1428" s="57"/>
    </row>
    <row r="1429" spans="1:65" ht="11.25" x14ac:dyDescent="0.2">
      <c r="A1429" s="57"/>
      <c r="B1429" s="57"/>
      <c r="C1429" s="57"/>
      <c r="D1429" s="57"/>
      <c r="E1429" s="57"/>
      <c r="F1429" s="57"/>
      <c r="G1429" s="57"/>
      <c r="H1429" s="57"/>
      <c r="I1429" s="57"/>
      <c r="J1429" s="57"/>
      <c r="L1429" s="57"/>
      <c r="M1429" s="57"/>
      <c r="N1429" s="57"/>
      <c r="O1429" s="57"/>
      <c r="P1429" s="57"/>
      <c r="Q1429" s="57"/>
      <c r="R1429" s="57"/>
      <c r="S1429" s="57"/>
      <c r="T1429" s="57"/>
      <c r="U1429" s="57"/>
      <c r="V1429" s="57"/>
      <c r="W1429" s="57"/>
      <c r="X1429" s="57"/>
      <c r="Y1429" s="98"/>
      <c r="AA1429" s="98"/>
      <c r="AR1429" s="98"/>
      <c r="AS1429" s="57"/>
      <c r="AU1429" s="57"/>
      <c r="BF1429" s="98"/>
      <c r="BG1429" s="98"/>
      <c r="BH1429" s="98"/>
      <c r="BI1429" s="98"/>
      <c r="BJ1429" s="98"/>
      <c r="BK1429" s="98"/>
      <c r="BL1429" s="98"/>
      <c r="BM1429" s="57"/>
    </row>
    <row r="1430" spans="1:65" ht="11.25" x14ac:dyDescent="0.2">
      <c r="A1430" s="57"/>
      <c r="B1430" s="57"/>
      <c r="C1430" s="57"/>
      <c r="D1430" s="57"/>
      <c r="E1430" s="57"/>
      <c r="F1430" s="57"/>
      <c r="G1430" s="57"/>
      <c r="H1430" s="57"/>
      <c r="I1430" s="57"/>
      <c r="J1430" s="57"/>
      <c r="L1430" s="57"/>
      <c r="M1430" s="57"/>
      <c r="N1430" s="57"/>
      <c r="O1430" s="57"/>
      <c r="P1430" s="57"/>
      <c r="Q1430" s="57"/>
      <c r="R1430" s="57"/>
      <c r="S1430" s="57"/>
      <c r="T1430" s="57"/>
      <c r="U1430" s="57"/>
      <c r="V1430" s="57"/>
      <c r="W1430" s="57"/>
      <c r="X1430" s="57"/>
      <c r="Y1430" s="98"/>
      <c r="AA1430" s="98"/>
      <c r="AR1430" s="98"/>
      <c r="AS1430" s="57"/>
      <c r="AU1430" s="57"/>
      <c r="BF1430" s="98"/>
      <c r="BG1430" s="98"/>
      <c r="BH1430" s="98"/>
      <c r="BI1430" s="98"/>
      <c r="BJ1430" s="98"/>
      <c r="BK1430" s="98"/>
      <c r="BL1430" s="98"/>
      <c r="BM1430" s="57"/>
    </row>
    <row r="1431" spans="1:65" ht="11.25" x14ac:dyDescent="0.2">
      <c r="A1431" s="57"/>
      <c r="B1431" s="57"/>
      <c r="C1431" s="57"/>
      <c r="D1431" s="57"/>
      <c r="E1431" s="57"/>
      <c r="F1431" s="57"/>
      <c r="G1431" s="57"/>
      <c r="H1431" s="57"/>
      <c r="I1431" s="57"/>
      <c r="J1431" s="57"/>
      <c r="L1431" s="57"/>
      <c r="M1431" s="57"/>
      <c r="N1431" s="57"/>
      <c r="O1431" s="57"/>
      <c r="P1431" s="57"/>
      <c r="Q1431" s="57"/>
      <c r="R1431" s="57"/>
      <c r="S1431" s="57"/>
      <c r="T1431" s="57"/>
      <c r="U1431" s="57"/>
      <c r="V1431" s="57"/>
      <c r="W1431" s="57"/>
      <c r="X1431" s="57"/>
      <c r="Y1431" s="98"/>
      <c r="AA1431" s="98"/>
      <c r="AR1431" s="98"/>
      <c r="AS1431" s="57"/>
      <c r="AU1431" s="57"/>
      <c r="BF1431" s="98"/>
      <c r="BG1431" s="98"/>
      <c r="BH1431" s="98"/>
      <c r="BI1431" s="98"/>
      <c r="BJ1431" s="98"/>
      <c r="BK1431" s="98"/>
      <c r="BL1431" s="98"/>
      <c r="BM1431" s="57"/>
    </row>
    <row r="1432" spans="1:65" ht="11.25" x14ac:dyDescent="0.2">
      <c r="A1432" s="57"/>
      <c r="B1432" s="57"/>
      <c r="C1432" s="57"/>
      <c r="D1432" s="57"/>
      <c r="E1432" s="57"/>
      <c r="F1432" s="57"/>
      <c r="G1432" s="57"/>
      <c r="H1432" s="57"/>
      <c r="I1432" s="57"/>
      <c r="J1432" s="57"/>
      <c r="L1432" s="57"/>
      <c r="M1432" s="57"/>
      <c r="N1432" s="57"/>
      <c r="O1432" s="57"/>
      <c r="P1432" s="57"/>
      <c r="Q1432" s="57"/>
      <c r="R1432" s="57"/>
      <c r="S1432" s="57"/>
      <c r="T1432" s="57"/>
      <c r="U1432" s="57"/>
      <c r="V1432" s="57"/>
      <c r="W1432" s="57"/>
      <c r="X1432" s="57"/>
      <c r="Y1432" s="98"/>
      <c r="AA1432" s="98"/>
      <c r="AR1432" s="98"/>
      <c r="AS1432" s="57"/>
      <c r="AU1432" s="57"/>
      <c r="BF1432" s="98"/>
      <c r="BG1432" s="98"/>
      <c r="BH1432" s="98"/>
      <c r="BI1432" s="98"/>
      <c r="BJ1432" s="98"/>
      <c r="BK1432" s="98"/>
      <c r="BL1432" s="98"/>
      <c r="BM1432" s="57"/>
    </row>
    <row r="1433" spans="1:65" ht="11.25" x14ac:dyDescent="0.2">
      <c r="A1433" s="57"/>
      <c r="B1433" s="57"/>
      <c r="C1433" s="57"/>
      <c r="D1433" s="57"/>
      <c r="E1433" s="57"/>
      <c r="F1433" s="57"/>
      <c r="G1433" s="57"/>
      <c r="H1433" s="57"/>
      <c r="I1433" s="57"/>
      <c r="J1433" s="57"/>
      <c r="L1433" s="57"/>
      <c r="M1433" s="57"/>
      <c r="N1433" s="57"/>
      <c r="O1433" s="57"/>
      <c r="P1433" s="57"/>
      <c r="Q1433" s="57"/>
      <c r="R1433" s="57"/>
      <c r="S1433" s="57"/>
      <c r="T1433" s="57"/>
      <c r="U1433" s="57"/>
      <c r="V1433" s="57"/>
      <c r="W1433" s="57"/>
      <c r="X1433" s="57"/>
      <c r="Y1433" s="98"/>
      <c r="AA1433" s="98"/>
      <c r="AR1433" s="98"/>
      <c r="AS1433" s="57"/>
      <c r="AU1433" s="57"/>
      <c r="BF1433" s="98"/>
      <c r="BG1433" s="98"/>
      <c r="BH1433" s="98"/>
      <c r="BI1433" s="98"/>
      <c r="BJ1433" s="98"/>
      <c r="BK1433" s="98"/>
      <c r="BL1433" s="98"/>
      <c r="BM1433" s="57"/>
    </row>
    <row r="1434" spans="1:65" ht="11.25" x14ac:dyDescent="0.2">
      <c r="A1434" s="57"/>
      <c r="B1434" s="57"/>
      <c r="C1434" s="57"/>
      <c r="D1434" s="57"/>
      <c r="E1434" s="57"/>
      <c r="F1434" s="57"/>
      <c r="G1434" s="57"/>
      <c r="H1434" s="57"/>
      <c r="I1434" s="57"/>
      <c r="J1434" s="57"/>
      <c r="L1434" s="57"/>
      <c r="M1434" s="57"/>
      <c r="N1434" s="57"/>
      <c r="O1434" s="57"/>
      <c r="P1434" s="57"/>
      <c r="Q1434" s="57"/>
      <c r="R1434" s="57"/>
      <c r="S1434" s="57"/>
      <c r="T1434" s="57"/>
      <c r="U1434" s="57"/>
      <c r="V1434" s="57"/>
      <c r="W1434" s="57"/>
      <c r="X1434" s="57"/>
      <c r="Y1434" s="98"/>
      <c r="AA1434" s="98"/>
      <c r="AR1434" s="98"/>
      <c r="AS1434" s="57"/>
      <c r="AU1434" s="57"/>
      <c r="BF1434" s="98"/>
      <c r="BG1434" s="98"/>
      <c r="BH1434" s="98"/>
      <c r="BI1434" s="98"/>
      <c r="BJ1434" s="98"/>
      <c r="BK1434" s="98"/>
      <c r="BL1434" s="98"/>
      <c r="BM1434" s="57"/>
    </row>
    <row r="1435" spans="1:65" ht="11.25" x14ac:dyDescent="0.2">
      <c r="A1435" s="57"/>
      <c r="B1435" s="57"/>
      <c r="C1435" s="57"/>
      <c r="D1435" s="57"/>
      <c r="E1435" s="57"/>
      <c r="F1435" s="57"/>
      <c r="G1435" s="57"/>
      <c r="H1435" s="57"/>
      <c r="I1435" s="57"/>
      <c r="J1435" s="57"/>
      <c r="L1435" s="57"/>
      <c r="M1435" s="57"/>
      <c r="N1435" s="57"/>
      <c r="O1435" s="57"/>
      <c r="P1435" s="57"/>
      <c r="Q1435" s="57"/>
      <c r="R1435" s="57"/>
      <c r="S1435" s="57"/>
      <c r="T1435" s="57"/>
      <c r="U1435" s="57"/>
      <c r="V1435" s="57"/>
      <c r="W1435" s="57"/>
      <c r="X1435" s="57"/>
      <c r="Y1435" s="98"/>
      <c r="AA1435" s="98"/>
      <c r="AR1435" s="98"/>
      <c r="AS1435" s="57"/>
      <c r="AU1435" s="57"/>
      <c r="BF1435" s="98"/>
      <c r="BG1435" s="98"/>
      <c r="BH1435" s="98"/>
      <c r="BI1435" s="98"/>
      <c r="BJ1435" s="98"/>
      <c r="BK1435" s="98"/>
      <c r="BL1435" s="98"/>
      <c r="BM1435" s="57"/>
    </row>
    <row r="1436" spans="1:65" ht="11.25" x14ac:dyDescent="0.2">
      <c r="A1436" s="57"/>
      <c r="B1436" s="57"/>
      <c r="C1436" s="57"/>
      <c r="D1436" s="57"/>
      <c r="E1436" s="57"/>
      <c r="F1436" s="57"/>
      <c r="G1436" s="57"/>
      <c r="H1436" s="57"/>
      <c r="I1436" s="57"/>
      <c r="J1436" s="57"/>
      <c r="L1436" s="57"/>
      <c r="M1436" s="57"/>
      <c r="N1436" s="57"/>
      <c r="O1436" s="57"/>
      <c r="P1436" s="57"/>
      <c r="Q1436" s="57"/>
      <c r="R1436" s="57"/>
      <c r="S1436" s="57"/>
      <c r="T1436" s="57"/>
      <c r="U1436" s="57"/>
      <c r="V1436" s="57"/>
      <c r="W1436" s="57"/>
      <c r="X1436" s="57"/>
      <c r="Y1436" s="98"/>
      <c r="AA1436" s="98"/>
      <c r="AR1436" s="98"/>
      <c r="AS1436" s="57"/>
      <c r="AU1436" s="57"/>
      <c r="BF1436" s="98"/>
      <c r="BG1436" s="98"/>
      <c r="BH1436" s="98"/>
      <c r="BI1436" s="98"/>
      <c r="BJ1436" s="98"/>
      <c r="BK1436" s="98"/>
      <c r="BL1436" s="98"/>
      <c r="BM1436" s="57"/>
    </row>
    <row r="1437" spans="1:65" ht="11.25" x14ac:dyDescent="0.2">
      <c r="A1437" s="57"/>
      <c r="B1437" s="57"/>
      <c r="C1437" s="57"/>
      <c r="D1437" s="57"/>
      <c r="E1437" s="57"/>
      <c r="F1437" s="57"/>
      <c r="G1437" s="57"/>
      <c r="H1437" s="57"/>
      <c r="I1437" s="57"/>
      <c r="J1437" s="57"/>
      <c r="L1437" s="57"/>
      <c r="M1437" s="57"/>
      <c r="N1437" s="57"/>
      <c r="O1437" s="57"/>
      <c r="P1437" s="57"/>
      <c r="Q1437" s="57"/>
      <c r="R1437" s="57"/>
      <c r="S1437" s="57"/>
      <c r="T1437" s="57"/>
      <c r="U1437" s="57"/>
      <c r="V1437" s="57"/>
      <c r="W1437" s="57"/>
      <c r="X1437" s="57"/>
      <c r="Y1437" s="98"/>
      <c r="AA1437" s="98"/>
      <c r="AR1437" s="98"/>
      <c r="AS1437" s="57"/>
      <c r="AU1437" s="57"/>
      <c r="BF1437" s="98"/>
      <c r="BG1437" s="98"/>
      <c r="BH1437" s="98"/>
      <c r="BI1437" s="98"/>
      <c r="BJ1437" s="98"/>
      <c r="BK1437" s="98"/>
      <c r="BL1437" s="98"/>
      <c r="BM1437" s="57"/>
    </row>
    <row r="1438" spans="1:65" ht="11.25" x14ac:dyDescent="0.2">
      <c r="A1438" s="57"/>
      <c r="B1438" s="57"/>
      <c r="C1438" s="57"/>
      <c r="D1438" s="57"/>
      <c r="E1438" s="57"/>
      <c r="F1438" s="57"/>
      <c r="G1438" s="57"/>
      <c r="H1438" s="57"/>
      <c r="I1438" s="57"/>
      <c r="J1438" s="57"/>
      <c r="L1438" s="57"/>
      <c r="M1438" s="57"/>
      <c r="N1438" s="57"/>
      <c r="O1438" s="57"/>
      <c r="P1438" s="57"/>
      <c r="Q1438" s="57"/>
      <c r="R1438" s="57"/>
      <c r="S1438" s="57"/>
      <c r="T1438" s="57"/>
      <c r="U1438" s="57"/>
      <c r="V1438" s="57"/>
      <c r="W1438" s="57"/>
      <c r="X1438" s="57"/>
      <c r="Y1438" s="98"/>
      <c r="AA1438" s="98"/>
      <c r="AR1438" s="98"/>
      <c r="AS1438" s="57"/>
      <c r="AU1438" s="57"/>
      <c r="BF1438" s="98"/>
      <c r="BG1438" s="98"/>
      <c r="BH1438" s="98"/>
      <c r="BI1438" s="98"/>
      <c r="BJ1438" s="98"/>
      <c r="BK1438" s="98"/>
      <c r="BL1438" s="98"/>
      <c r="BM1438" s="57"/>
    </row>
    <row r="1439" spans="1:65" ht="11.25" x14ac:dyDescent="0.2">
      <c r="A1439" s="57"/>
      <c r="B1439" s="57"/>
      <c r="C1439" s="57"/>
      <c r="D1439" s="57"/>
      <c r="E1439" s="57"/>
      <c r="F1439" s="57"/>
      <c r="G1439" s="57"/>
      <c r="H1439" s="57"/>
      <c r="I1439" s="57"/>
      <c r="J1439" s="57"/>
      <c r="L1439" s="57"/>
      <c r="M1439" s="57"/>
      <c r="N1439" s="57"/>
      <c r="O1439" s="57"/>
      <c r="P1439" s="57"/>
      <c r="Q1439" s="57"/>
      <c r="R1439" s="57"/>
      <c r="S1439" s="57"/>
      <c r="T1439" s="57"/>
      <c r="U1439" s="57"/>
      <c r="V1439" s="57"/>
      <c r="W1439" s="57"/>
      <c r="X1439" s="57"/>
      <c r="Y1439" s="98"/>
      <c r="AA1439" s="98"/>
      <c r="AR1439" s="98"/>
      <c r="AS1439" s="57"/>
      <c r="AU1439" s="57"/>
      <c r="BF1439" s="98"/>
      <c r="BG1439" s="98"/>
      <c r="BH1439" s="98"/>
      <c r="BI1439" s="98"/>
      <c r="BJ1439" s="98"/>
      <c r="BK1439" s="98"/>
      <c r="BL1439" s="98"/>
      <c r="BM1439" s="57"/>
    </row>
    <row r="1440" spans="1:65" ht="11.25" x14ac:dyDescent="0.2">
      <c r="A1440" s="57"/>
      <c r="B1440" s="57"/>
      <c r="C1440" s="57"/>
      <c r="D1440" s="57"/>
      <c r="E1440" s="57"/>
      <c r="F1440" s="57"/>
      <c r="G1440" s="57"/>
      <c r="H1440" s="57"/>
      <c r="I1440" s="57"/>
      <c r="J1440" s="57"/>
      <c r="L1440" s="57"/>
      <c r="M1440" s="57"/>
      <c r="N1440" s="57"/>
      <c r="O1440" s="57"/>
      <c r="P1440" s="57"/>
      <c r="Q1440" s="57"/>
      <c r="R1440" s="57"/>
      <c r="S1440" s="57"/>
      <c r="T1440" s="57"/>
      <c r="U1440" s="57"/>
      <c r="V1440" s="57"/>
      <c r="W1440" s="57"/>
      <c r="X1440" s="57"/>
      <c r="Y1440" s="98"/>
      <c r="AA1440" s="98"/>
      <c r="AR1440" s="98"/>
      <c r="AS1440" s="57"/>
      <c r="AU1440" s="57"/>
      <c r="BF1440" s="98"/>
      <c r="BG1440" s="98"/>
      <c r="BH1440" s="98"/>
      <c r="BI1440" s="98"/>
      <c r="BJ1440" s="98"/>
      <c r="BK1440" s="98"/>
      <c r="BL1440" s="98"/>
      <c r="BM1440" s="57"/>
    </row>
    <row r="1441" spans="1:65" ht="11.25" x14ac:dyDescent="0.2">
      <c r="A1441" s="57"/>
      <c r="B1441" s="57"/>
      <c r="C1441" s="57"/>
      <c r="D1441" s="57"/>
      <c r="E1441" s="57"/>
      <c r="F1441" s="57"/>
      <c r="G1441" s="57"/>
      <c r="H1441" s="57"/>
      <c r="I1441" s="57"/>
      <c r="J1441" s="57"/>
      <c r="L1441" s="57"/>
      <c r="M1441" s="57"/>
      <c r="N1441" s="57"/>
      <c r="O1441" s="57"/>
      <c r="P1441" s="57"/>
      <c r="Q1441" s="57"/>
      <c r="R1441" s="57"/>
      <c r="S1441" s="57"/>
      <c r="T1441" s="57"/>
      <c r="U1441" s="57"/>
      <c r="V1441" s="57"/>
      <c r="W1441" s="57"/>
      <c r="X1441" s="57"/>
      <c r="Y1441" s="98"/>
      <c r="AA1441" s="98"/>
      <c r="AR1441" s="98"/>
      <c r="AS1441" s="57"/>
      <c r="AU1441" s="57"/>
      <c r="BF1441" s="98"/>
      <c r="BG1441" s="98"/>
      <c r="BH1441" s="98"/>
      <c r="BI1441" s="98"/>
      <c r="BJ1441" s="98"/>
      <c r="BK1441" s="98"/>
      <c r="BL1441" s="98"/>
      <c r="BM1441" s="57"/>
    </row>
    <row r="1442" spans="1:65" ht="11.25" x14ac:dyDescent="0.2">
      <c r="A1442" s="57"/>
      <c r="B1442" s="57"/>
      <c r="C1442" s="57"/>
      <c r="D1442" s="57"/>
      <c r="E1442" s="57"/>
      <c r="F1442" s="57"/>
      <c r="G1442" s="57"/>
      <c r="H1442" s="57"/>
      <c r="I1442" s="57"/>
      <c r="J1442" s="57"/>
      <c r="L1442" s="57"/>
      <c r="M1442" s="57"/>
      <c r="N1442" s="57"/>
      <c r="O1442" s="57"/>
      <c r="P1442" s="57"/>
      <c r="Q1442" s="57"/>
      <c r="R1442" s="57"/>
      <c r="S1442" s="57"/>
      <c r="T1442" s="57"/>
      <c r="U1442" s="57"/>
      <c r="V1442" s="57"/>
      <c r="W1442" s="57"/>
      <c r="X1442" s="57"/>
      <c r="Y1442" s="98"/>
      <c r="AA1442" s="98"/>
      <c r="AR1442" s="98"/>
      <c r="AS1442" s="57"/>
      <c r="AU1442" s="57"/>
      <c r="BF1442" s="98"/>
      <c r="BG1442" s="98"/>
      <c r="BH1442" s="98"/>
      <c r="BI1442" s="98"/>
      <c r="BJ1442" s="98"/>
      <c r="BK1442" s="98"/>
      <c r="BL1442" s="98"/>
      <c r="BM1442" s="57"/>
    </row>
    <row r="1443" spans="1:65" ht="11.25" x14ac:dyDescent="0.2">
      <c r="A1443" s="57"/>
      <c r="B1443" s="57"/>
      <c r="C1443" s="57"/>
      <c r="D1443" s="57"/>
      <c r="E1443" s="57"/>
      <c r="F1443" s="57"/>
      <c r="G1443" s="57"/>
      <c r="H1443" s="57"/>
      <c r="I1443" s="57"/>
      <c r="J1443" s="57"/>
      <c r="L1443" s="57"/>
      <c r="M1443" s="57"/>
      <c r="N1443" s="57"/>
      <c r="O1443" s="57"/>
      <c r="P1443" s="57"/>
      <c r="Q1443" s="57"/>
      <c r="R1443" s="57"/>
      <c r="S1443" s="57"/>
      <c r="T1443" s="57"/>
      <c r="U1443" s="57"/>
      <c r="V1443" s="57"/>
      <c r="W1443" s="57"/>
      <c r="X1443" s="57"/>
      <c r="Y1443" s="98"/>
      <c r="AA1443" s="98"/>
      <c r="AR1443" s="98"/>
      <c r="AS1443" s="57"/>
      <c r="AU1443" s="57"/>
      <c r="BF1443" s="98"/>
      <c r="BG1443" s="98"/>
      <c r="BH1443" s="98"/>
      <c r="BI1443" s="98"/>
      <c r="BJ1443" s="98"/>
      <c r="BK1443" s="98"/>
      <c r="BL1443" s="98"/>
      <c r="BM1443" s="57"/>
    </row>
    <row r="1444" spans="1:65" ht="11.25" x14ac:dyDescent="0.2">
      <c r="A1444" s="57"/>
      <c r="B1444" s="57"/>
      <c r="C1444" s="57"/>
      <c r="D1444" s="57"/>
      <c r="E1444" s="57"/>
      <c r="F1444" s="57"/>
      <c r="G1444" s="57"/>
      <c r="H1444" s="57"/>
      <c r="I1444" s="57"/>
      <c r="J1444" s="57"/>
      <c r="L1444" s="57"/>
      <c r="M1444" s="57"/>
      <c r="N1444" s="57"/>
      <c r="O1444" s="57"/>
      <c r="P1444" s="57"/>
      <c r="Q1444" s="57"/>
      <c r="R1444" s="57"/>
      <c r="S1444" s="57"/>
      <c r="T1444" s="57"/>
      <c r="U1444" s="57"/>
      <c r="V1444" s="57"/>
      <c r="W1444" s="57"/>
      <c r="X1444" s="57"/>
      <c r="Y1444" s="98"/>
      <c r="AA1444" s="98"/>
      <c r="AR1444" s="98"/>
      <c r="AS1444" s="57"/>
      <c r="AU1444" s="57"/>
      <c r="BF1444" s="98"/>
      <c r="BG1444" s="98"/>
      <c r="BH1444" s="98"/>
      <c r="BI1444" s="98"/>
      <c r="BJ1444" s="98"/>
      <c r="BK1444" s="98"/>
      <c r="BL1444" s="98"/>
      <c r="BM1444" s="57"/>
    </row>
    <row r="1445" spans="1:65" ht="11.25" x14ac:dyDescent="0.2">
      <c r="A1445" s="57"/>
      <c r="B1445" s="57"/>
      <c r="C1445" s="57"/>
      <c r="D1445" s="57"/>
      <c r="E1445" s="57"/>
      <c r="F1445" s="57"/>
      <c r="G1445" s="57"/>
      <c r="H1445" s="57"/>
      <c r="I1445" s="57"/>
      <c r="J1445" s="57"/>
      <c r="L1445" s="57"/>
      <c r="M1445" s="57"/>
      <c r="N1445" s="57"/>
      <c r="O1445" s="57"/>
      <c r="P1445" s="57"/>
      <c r="Q1445" s="57"/>
      <c r="R1445" s="57"/>
      <c r="S1445" s="57"/>
      <c r="T1445" s="57"/>
      <c r="U1445" s="57"/>
      <c r="V1445" s="57"/>
      <c r="W1445" s="57"/>
      <c r="X1445" s="57"/>
      <c r="Y1445" s="98"/>
      <c r="AA1445" s="98"/>
      <c r="AR1445" s="98"/>
      <c r="AS1445" s="57"/>
      <c r="AU1445" s="57"/>
      <c r="BF1445" s="98"/>
      <c r="BG1445" s="98"/>
      <c r="BH1445" s="98"/>
      <c r="BI1445" s="98"/>
      <c r="BJ1445" s="98"/>
      <c r="BK1445" s="98"/>
      <c r="BL1445" s="98"/>
      <c r="BM1445" s="57"/>
    </row>
    <row r="1446" spans="1:65" ht="11.25" x14ac:dyDescent="0.2">
      <c r="A1446" s="57"/>
      <c r="B1446" s="57"/>
      <c r="C1446" s="57"/>
      <c r="D1446" s="57"/>
      <c r="E1446" s="57"/>
      <c r="F1446" s="57"/>
      <c r="G1446" s="57"/>
      <c r="H1446" s="57"/>
      <c r="I1446" s="57"/>
      <c r="J1446" s="57"/>
      <c r="L1446" s="57"/>
      <c r="M1446" s="57"/>
      <c r="N1446" s="57"/>
      <c r="O1446" s="57"/>
      <c r="P1446" s="57"/>
      <c r="Q1446" s="57"/>
      <c r="R1446" s="57"/>
      <c r="S1446" s="57"/>
      <c r="T1446" s="57"/>
      <c r="U1446" s="57"/>
      <c r="V1446" s="57"/>
      <c r="W1446" s="57"/>
      <c r="X1446" s="57"/>
      <c r="Y1446" s="98"/>
      <c r="AA1446" s="98"/>
      <c r="AR1446" s="98"/>
      <c r="AS1446" s="57"/>
      <c r="AU1446" s="57"/>
      <c r="BF1446" s="98"/>
      <c r="BG1446" s="98"/>
      <c r="BH1446" s="98"/>
      <c r="BI1446" s="98"/>
      <c r="BJ1446" s="98"/>
      <c r="BK1446" s="98"/>
      <c r="BL1446" s="98"/>
      <c r="BM1446" s="57"/>
    </row>
    <row r="1447" spans="1:65" ht="11.25" x14ac:dyDescent="0.2">
      <c r="A1447" s="57"/>
      <c r="B1447" s="57"/>
      <c r="C1447" s="57"/>
      <c r="D1447" s="57"/>
      <c r="E1447" s="57"/>
      <c r="F1447" s="57"/>
      <c r="G1447" s="57"/>
      <c r="H1447" s="57"/>
      <c r="I1447" s="57"/>
      <c r="J1447" s="57"/>
      <c r="L1447" s="57"/>
      <c r="M1447" s="57"/>
      <c r="N1447" s="57"/>
      <c r="O1447" s="57"/>
      <c r="P1447" s="57"/>
      <c r="Q1447" s="57"/>
      <c r="R1447" s="57"/>
      <c r="S1447" s="57"/>
      <c r="T1447" s="57"/>
      <c r="U1447" s="57"/>
      <c r="V1447" s="57"/>
      <c r="W1447" s="57"/>
      <c r="X1447" s="57"/>
      <c r="Y1447" s="98"/>
      <c r="AA1447" s="98"/>
      <c r="AR1447" s="98"/>
      <c r="AS1447" s="57"/>
      <c r="AU1447" s="57"/>
      <c r="BF1447" s="98"/>
      <c r="BG1447" s="98"/>
      <c r="BH1447" s="98"/>
      <c r="BI1447" s="98"/>
      <c r="BJ1447" s="98"/>
      <c r="BK1447" s="98"/>
      <c r="BL1447" s="98"/>
      <c r="BM1447" s="57"/>
    </row>
    <row r="1448" spans="1:65" ht="11.25" x14ac:dyDescent="0.2">
      <c r="A1448" s="57"/>
      <c r="B1448" s="57"/>
      <c r="C1448" s="57"/>
      <c r="D1448" s="57"/>
      <c r="E1448" s="57"/>
      <c r="F1448" s="57"/>
      <c r="G1448" s="57"/>
      <c r="H1448" s="57"/>
      <c r="I1448" s="57"/>
      <c r="J1448" s="57"/>
      <c r="L1448" s="57"/>
      <c r="M1448" s="57"/>
      <c r="N1448" s="57"/>
      <c r="O1448" s="57"/>
      <c r="P1448" s="57"/>
      <c r="Q1448" s="57"/>
      <c r="R1448" s="57"/>
      <c r="S1448" s="57"/>
      <c r="T1448" s="57"/>
      <c r="U1448" s="57"/>
      <c r="V1448" s="57"/>
      <c r="W1448" s="57"/>
      <c r="X1448" s="57"/>
      <c r="Y1448" s="98"/>
      <c r="AA1448" s="98"/>
      <c r="AR1448" s="98"/>
      <c r="AS1448" s="57"/>
      <c r="AU1448" s="57"/>
      <c r="BF1448" s="98"/>
      <c r="BG1448" s="98"/>
      <c r="BH1448" s="98"/>
      <c r="BI1448" s="98"/>
      <c r="BJ1448" s="98"/>
      <c r="BK1448" s="98"/>
      <c r="BL1448" s="98"/>
      <c r="BM1448" s="57"/>
    </row>
    <row r="1449" spans="1:65" ht="11.25" x14ac:dyDescent="0.2">
      <c r="A1449" s="57"/>
      <c r="B1449" s="57"/>
      <c r="C1449" s="57"/>
      <c r="D1449" s="57"/>
      <c r="E1449" s="57"/>
      <c r="F1449" s="57"/>
      <c r="G1449" s="57"/>
      <c r="H1449" s="57"/>
      <c r="I1449" s="57"/>
      <c r="J1449" s="57"/>
      <c r="L1449" s="57"/>
      <c r="M1449" s="57"/>
      <c r="N1449" s="57"/>
      <c r="O1449" s="57"/>
      <c r="P1449" s="57"/>
      <c r="Q1449" s="57"/>
      <c r="R1449" s="57"/>
      <c r="S1449" s="57"/>
      <c r="T1449" s="57"/>
      <c r="U1449" s="57"/>
      <c r="V1449" s="57"/>
      <c r="W1449" s="57"/>
      <c r="X1449" s="57"/>
      <c r="Y1449" s="98"/>
      <c r="AA1449" s="98"/>
      <c r="AR1449" s="98"/>
      <c r="AS1449" s="57"/>
      <c r="AU1449" s="57"/>
      <c r="BF1449" s="98"/>
      <c r="BG1449" s="98"/>
      <c r="BH1449" s="98"/>
      <c r="BI1449" s="98"/>
      <c r="BJ1449" s="98"/>
      <c r="BK1449" s="98"/>
      <c r="BL1449" s="98"/>
      <c r="BM1449" s="57"/>
    </row>
    <row r="1450" spans="1:65" ht="11.25" x14ac:dyDescent="0.2">
      <c r="A1450" s="57"/>
      <c r="B1450" s="57"/>
      <c r="C1450" s="57"/>
      <c r="D1450" s="57"/>
      <c r="E1450" s="57"/>
      <c r="F1450" s="57"/>
      <c r="G1450" s="57"/>
      <c r="H1450" s="57"/>
      <c r="I1450" s="57"/>
      <c r="J1450" s="57"/>
      <c r="L1450" s="57"/>
      <c r="M1450" s="57"/>
      <c r="N1450" s="57"/>
      <c r="O1450" s="57"/>
      <c r="P1450" s="57"/>
      <c r="Q1450" s="57"/>
      <c r="R1450" s="57"/>
      <c r="S1450" s="57"/>
      <c r="T1450" s="57"/>
      <c r="U1450" s="57"/>
      <c r="V1450" s="57"/>
      <c r="W1450" s="57"/>
      <c r="X1450" s="57"/>
      <c r="Y1450" s="98"/>
      <c r="AA1450" s="98"/>
      <c r="AR1450" s="98"/>
      <c r="AS1450" s="57"/>
      <c r="AU1450" s="57"/>
      <c r="BF1450" s="98"/>
      <c r="BG1450" s="98"/>
      <c r="BH1450" s="98"/>
      <c r="BI1450" s="98"/>
      <c r="BJ1450" s="98"/>
      <c r="BK1450" s="98"/>
      <c r="BL1450" s="98"/>
      <c r="BM1450" s="57"/>
    </row>
  </sheetData>
  <mergeCells count="2">
    <mergeCell ref="B147:D147"/>
    <mergeCell ref="B148:BF148"/>
  </mergeCells>
  <phoneticPr fontId="3" type="noConversion"/>
  <printOptions horizontalCentered="1"/>
  <pageMargins left="0.38" right="0.23" top="0.91" bottom="0.59" header="0.42" footer="0.21"/>
  <pageSetup scale="80" orientation="landscape" r:id="rId1"/>
  <headerFooter alignWithMargins="0">
    <oddHeader>&amp;L&amp;"Arial,Bold"&amp;12Department of Corrections&amp;R&amp;"Arial,Bold"&amp;12Justice System Appropriations Subcommittee</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70"/>
  <sheetViews>
    <sheetView tabSelected="1" zoomScale="80" zoomScaleNormal="80" workbookViewId="0">
      <pane xSplit="39" ySplit="1" topLeftCell="AN86" activePane="bottomRight" state="frozen"/>
      <selection pane="topRight" activeCell="AN1" sqref="AN1"/>
      <selection pane="bottomLeft" activeCell="A2" sqref="A2"/>
      <selection pane="bottomRight" activeCell="E101" sqref="E101"/>
    </sheetView>
  </sheetViews>
  <sheetFormatPr defaultColWidth="9.140625" defaultRowHeight="12.75" x14ac:dyDescent="0.2"/>
  <cols>
    <col min="1" max="1" width="14" style="360" customWidth="1"/>
    <col min="2" max="2" width="0.7109375" style="129" customWidth="1"/>
    <col min="3" max="3" width="12.7109375" style="156" customWidth="1"/>
    <col min="4" max="4" width="0.7109375" style="129" customWidth="1"/>
    <col min="5" max="5" width="26.5703125" style="158" customWidth="1"/>
    <col min="6" max="6" width="1" style="275" customWidth="1"/>
    <col min="7" max="7" width="16.140625" style="158" customWidth="1"/>
    <col min="8" max="8" width="1" style="275" customWidth="1"/>
    <col min="9" max="9" width="12.7109375" style="163" customWidth="1"/>
    <col min="10" max="10" width="1.28515625" style="129" customWidth="1"/>
    <col min="11" max="11" width="12.7109375" style="163" customWidth="1"/>
    <col min="12" max="12" width="1" style="129" customWidth="1"/>
    <col min="13" max="13" width="15.28515625" style="163" customWidth="1"/>
    <col min="14" max="14" width="1" style="129" customWidth="1"/>
    <col min="15" max="15" width="9.42578125" style="163" customWidth="1"/>
    <col min="16" max="16" width="21.140625" style="163" customWidth="1"/>
    <col min="17" max="17" width="10.42578125" style="161" hidden="1" customWidth="1"/>
    <col min="18" max="18" width="0.85546875" style="161" hidden="1" customWidth="1"/>
    <col min="19" max="19" width="14" style="64" hidden="1" customWidth="1"/>
    <col min="20" max="20" width="0.85546875" style="161" hidden="1" customWidth="1"/>
    <col min="21" max="21" width="10.85546875" style="161" hidden="1" customWidth="1"/>
    <col min="22" max="22" width="1.42578125" style="161" hidden="1" customWidth="1"/>
    <col min="23" max="23" width="12" style="161" hidden="1" customWidth="1"/>
    <col min="24" max="24" width="0.85546875" style="161" hidden="1" customWidth="1"/>
    <col min="25" max="25" width="10.42578125" style="161" hidden="1" customWidth="1"/>
    <col min="26" max="26" width="0.85546875" style="161" hidden="1" customWidth="1"/>
    <col min="27" max="27" width="17" style="64" hidden="1" customWidth="1"/>
    <col min="28" max="28" width="2.7109375" style="161" hidden="1" customWidth="1"/>
    <col min="29" max="29" width="10.85546875" style="161" hidden="1" customWidth="1"/>
    <col min="30" max="30" width="1.42578125" style="161" hidden="1" customWidth="1"/>
    <col min="31" max="31" width="12" style="161" hidden="1" customWidth="1"/>
    <col min="32" max="32" width="10.85546875" style="161" hidden="1" customWidth="1"/>
    <col min="33" max="33" width="1.42578125" style="161" hidden="1" customWidth="1"/>
    <col min="34" max="34" width="12" style="161" hidden="1" customWidth="1"/>
    <col min="35" max="35" width="9.140625" style="181" hidden="1" customWidth="1"/>
    <col min="36" max="39" width="9.140625" style="160" hidden="1" customWidth="1"/>
    <col min="40" max="40" width="1.140625" style="23" customWidth="1"/>
    <col min="41" max="41" width="10.85546875" style="161" customWidth="1"/>
    <col min="42" max="42" width="1.42578125" style="129" customWidth="1"/>
    <col min="43" max="43" width="15.140625" style="161" bestFit="1" customWidth="1"/>
    <col min="44" max="44" width="10.85546875" style="161" customWidth="1"/>
    <col min="45" max="45" width="1.42578125" style="129" customWidth="1"/>
    <col min="46" max="46" width="15.140625" style="161" bestFit="1" customWidth="1"/>
    <col min="47" max="47" width="1.28515625" style="129" customWidth="1"/>
    <col min="48" max="48" width="11" style="391" customWidth="1"/>
    <col min="49" max="49" width="15.140625" style="161" customWidth="1"/>
    <col min="50" max="50" width="1.42578125" style="129" customWidth="1"/>
    <col min="51" max="51" width="15.140625" style="391" customWidth="1"/>
    <col min="52" max="52" width="15.140625" style="161" customWidth="1"/>
    <col min="53" max="53" width="1.28515625" style="129" customWidth="1"/>
    <col min="54" max="54" width="11" style="391" customWidth="1"/>
    <col min="55" max="55" width="15.140625" style="129" customWidth="1"/>
    <col min="56" max="56" width="1.42578125" style="129" customWidth="1"/>
    <col min="57" max="57" width="15.140625" style="391" customWidth="1"/>
    <col min="58" max="62" width="15.140625" style="161" customWidth="1"/>
    <col min="63" max="63" width="22" style="269" customWidth="1"/>
    <col min="64" max="71" width="9.140625" style="23"/>
    <col min="72" max="281" width="9.140625" style="160"/>
    <col min="282" max="282" width="2.140625" style="160" customWidth="1"/>
    <col min="283" max="283" width="14" style="160" customWidth="1"/>
    <col min="284" max="284" width="0.7109375" style="160" customWidth="1"/>
    <col min="285" max="285" width="17.140625" style="160" customWidth="1"/>
    <col min="286" max="286" width="1.140625" style="160" customWidth="1"/>
    <col min="287" max="287" width="26.5703125" style="160" customWidth="1"/>
    <col min="288" max="288" width="1" style="160" customWidth="1"/>
    <col min="289" max="289" width="32.85546875" style="160" customWidth="1"/>
    <col min="290" max="290" width="1" style="160" customWidth="1"/>
    <col min="291" max="291" width="12.7109375" style="160" customWidth="1"/>
    <col min="292" max="292" width="1.28515625" style="160" customWidth="1"/>
    <col min="293" max="293" width="11.42578125" style="160" customWidth="1"/>
    <col min="294" max="294" width="1" style="160" customWidth="1"/>
    <col min="295" max="295" width="10.42578125" style="160" customWidth="1"/>
    <col min="296" max="296" width="0.85546875" style="160" customWidth="1"/>
    <col min="297" max="297" width="14" style="160" customWidth="1"/>
    <col min="298" max="298" width="0.85546875" style="160" customWidth="1"/>
    <col min="299" max="299" width="10.85546875" style="160" customWidth="1"/>
    <col min="300" max="300" width="1.42578125" style="160" customWidth="1"/>
    <col min="301" max="301" width="10.85546875" style="160" customWidth="1"/>
    <col min="302" max="302" width="0.85546875" style="160" customWidth="1"/>
    <col min="303" max="303" width="16" style="160" customWidth="1"/>
    <col min="304" max="304" width="0.5703125" style="160" customWidth="1"/>
    <col min="305" max="305" width="9.42578125" style="160" bestFit="1" customWidth="1"/>
    <col min="306" max="306" width="1.140625" style="160" customWidth="1"/>
    <col min="307" max="537" width="9.140625" style="160"/>
    <col min="538" max="538" width="2.140625" style="160" customWidth="1"/>
    <col min="539" max="539" width="14" style="160" customWidth="1"/>
    <col min="540" max="540" width="0.7109375" style="160" customWidth="1"/>
    <col min="541" max="541" width="17.140625" style="160" customWidth="1"/>
    <col min="542" max="542" width="1.140625" style="160" customWidth="1"/>
    <col min="543" max="543" width="26.5703125" style="160" customWidth="1"/>
    <col min="544" max="544" width="1" style="160" customWidth="1"/>
    <col min="545" max="545" width="32.85546875" style="160" customWidth="1"/>
    <col min="546" max="546" width="1" style="160" customWidth="1"/>
    <col min="547" max="547" width="12.7109375" style="160" customWidth="1"/>
    <col min="548" max="548" width="1.28515625" style="160" customWidth="1"/>
    <col min="549" max="549" width="11.42578125" style="160" customWidth="1"/>
    <col min="550" max="550" width="1" style="160" customWidth="1"/>
    <col min="551" max="551" width="10.42578125" style="160" customWidth="1"/>
    <col min="552" max="552" width="0.85546875" style="160" customWidth="1"/>
    <col min="553" max="553" width="14" style="160" customWidth="1"/>
    <col min="554" max="554" width="0.85546875" style="160" customWidth="1"/>
    <col min="555" max="555" width="10.85546875" style="160" customWidth="1"/>
    <col min="556" max="556" width="1.42578125" style="160" customWidth="1"/>
    <col min="557" max="557" width="10.85546875" style="160" customWidth="1"/>
    <col min="558" max="558" width="0.85546875" style="160" customWidth="1"/>
    <col min="559" max="559" width="16" style="160" customWidth="1"/>
    <col min="560" max="560" width="0.5703125" style="160" customWidth="1"/>
    <col min="561" max="561" width="9.42578125" style="160" bestFit="1" customWidth="1"/>
    <col min="562" max="562" width="1.140625" style="160" customWidth="1"/>
    <col min="563" max="793" width="9.140625" style="160"/>
    <col min="794" max="794" width="2.140625" style="160" customWidth="1"/>
    <col min="795" max="795" width="14" style="160" customWidth="1"/>
    <col min="796" max="796" width="0.7109375" style="160" customWidth="1"/>
    <col min="797" max="797" width="17.140625" style="160" customWidth="1"/>
    <col min="798" max="798" width="1.140625" style="160" customWidth="1"/>
    <col min="799" max="799" width="26.5703125" style="160" customWidth="1"/>
    <col min="800" max="800" width="1" style="160" customWidth="1"/>
    <col min="801" max="801" width="32.85546875" style="160" customWidth="1"/>
    <col min="802" max="802" width="1" style="160" customWidth="1"/>
    <col min="803" max="803" width="12.7109375" style="160" customWidth="1"/>
    <col min="804" max="804" width="1.28515625" style="160" customWidth="1"/>
    <col min="805" max="805" width="11.42578125" style="160" customWidth="1"/>
    <col min="806" max="806" width="1" style="160" customWidth="1"/>
    <col min="807" max="807" width="10.42578125" style="160" customWidth="1"/>
    <col min="808" max="808" width="0.85546875" style="160" customWidth="1"/>
    <col min="809" max="809" width="14" style="160" customWidth="1"/>
    <col min="810" max="810" width="0.85546875" style="160" customWidth="1"/>
    <col min="811" max="811" width="10.85546875" style="160" customWidth="1"/>
    <col min="812" max="812" width="1.42578125" style="160" customWidth="1"/>
    <col min="813" max="813" width="10.85546875" style="160" customWidth="1"/>
    <col min="814" max="814" width="0.85546875" style="160" customWidth="1"/>
    <col min="815" max="815" width="16" style="160" customWidth="1"/>
    <col min="816" max="816" width="0.5703125" style="160" customWidth="1"/>
    <col min="817" max="817" width="9.42578125" style="160" bestFit="1" customWidth="1"/>
    <col min="818" max="818" width="1.140625" style="160" customWidth="1"/>
    <col min="819" max="1049" width="9.140625" style="160"/>
    <col min="1050" max="1050" width="2.140625" style="160" customWidth="1"/>
    <col min="1051" max="1051" width="14" style="160" customWidth="1"/>
    <col min="1052" max="1052" width="0.7109375" style="160" customWidth="1"/>
    <col min="1053" max="1053" width="17.140625" style="160" customWidth="1"/>
    <col min="1054" max="1054" width="1.140625" style="160" customWidth="1"/>
    <col min="1055" max="1055" width="26.5703125" style="160" customWidth="1"/>
    <col min="1056" max="1056" width="1" style="160" customWidth="1"/>
    <col min="1057" max="1057" width="32.85546875" style="160" customWidth="1"/>
    <col min="1058" max="1058" width="1" style="160" customWidth="1"/>
    <col min="1059" max="1059" width="12.7109375" style="160" customWidth="1"/>
    <col min="1060" max="1060" width="1.28515625" style="160" customWidth="1"/>
    <col min="1061" max="1061" width="11.42578125" style="160" customWidth="1"/>
    <col min="1062" max="1062" width="1" style="160" customWidth="1"/>
    <col min="1063" max="1063" width="10.42578125" style="160" customWidth="1"/>
    <col min="1064" max="1064" width="0.85546875" style="160" customWidth="1"/>
    <col min="1065" max="1065" width="14" style="160" customWidth="1"/>
    <col min="1066" max="1066" width="0.85546875" style="160" customWidth="1"/>
    <col min="1067" max="1067" width="10.85546875" style="160" customWidth="1"/>
    <col min="1068" max="1068" width="1.42578125" style="160" customWidth="1"/>
    <col min="1069" max="1069" width="10.85546875" style="160" customWidth="1"/>
    <col min="1070" max="1070" width="0.85546875" style="160" customWidth="1"/>
    <col min="1071" max="1071" width="16" style="160" customWidth="1"/>
    <col min="1072" max="1072" width="0.5703125" style="160" customWidth="1"/>
    <col min="1073" max="1073" width="9.42578125" style="160" bestFit="1" customWidth="1"/>
    <col min="1074" max="1074" width="1.140625" style="160" customWidth="1"/>
    <col min="1075" max="1305" width="9.140625" style="160"/>
    <col min="1306" max="1306" width="2.140625" style="160" customWidth="1"/>
    <col min="1307" max="1307" width="14" style="160" customWidth="1"/>
    <col min="1308" max="1308" width="0.7109375" style="160" customWidth="1"/>
    <col min="1309" max="1309" width="17.140625" style="160" customWidth="1"/>
    <col min="1310" max="1310" width="1.140625" style="160" customWidth="1"/>
    <col min="1311" max="1311" width="26.5703125" style="160" customWidth="1"/>
    <col min="1312" max="1312" width="1" style="160" customWidth="1"/>
    <col min="1313" max="1313" width="32.85546875" style="160" customWidth="1"/>
    <col min="1314" max="1314" width="1" style="160" customWidth="1"/>
    <col min="1315" max="1315" width="12.7109375" style="160" customWidth="1"/>
    <col min="1316" max="1316" width="1.28515625" style="160" customWidth="1"/>
    <col min="1317" max="1317" width="11.42578125" style="160" customWidth="1"/>
    <col min="1318" max="1318" width="1" style="160" customWidth="1"/>
    <col min="1319" max="1319" width="10.42578125" style="160" customWidth="1"/>
    <col min="1320" max="1320" width="0.85546875" style="160" customWidth="1"/>
    <col min="1321" max="1321" width="14" style="160" customWidth="1"/>
    <col min="1322" max="1322" width="0.85546875" style="160" customWidth="1"/>
    <col min="1323" max="1323" width="10.85546875" style="160" customWidth="1"/>
    <col min="1324" max="1324" width="1.42578125" style="160" customWidth="1"/>
    <col min="1325" max="1325" width="10.85546875" style="160" customWidth="1"/>
    <col min="1326" max="1326" width="0.85546875" style="160" customWidth="1"/>
    <col min="1327" max="1327" width="16" style="160" customWidth="1"/>
    <col min="1328" max="1328" width="0.5703125" style="160" customWidth="1"/>
    <col min="1329" max="1329" width="9.42578125" style="160" bestFit="1" customWidth="1"/>
    <col min="1330" max="1330" width="1.140625" style="160" customWidth="1"/>
    <col min="1331" max="1561" width="9.140625" style="160"/>
    <col min="1562" max="1562" width="2.140625" style="160" customWidth="1"/>
    <col min="1563" max="1563" width="14" style="160" customWidth="1"/>
    <col min="1564" max="1564" width="0.7109375" style="160" customWidth="1"/>
    <col min="1565" max="1565" width="17.140625" style="160" customWidth="1"/>
    <col min="1566" max="1566" width="1.140625" style="160" customWidth="1"/>
    <col min="1567" max="1567" width="26.5703125" style="160" customWidth="1"/>
    <col min="1568" max="1568" width="1" style="160" customWidth="1"/>
    <col min="1569" max="1569" width="32.85546875" style="160" customWidth="1"/>
    <col min="1570" max="1570" width="1" style="160" customWidth="1"/>
    <col min="1571" max="1571" width="12.7109375" style="160" customWidth="1"/>
    <col min="1572" max="1572" width="1.28515625" style="160" customWidth="1"/>
    <col min="1573" max="1573" width="11.42578125" style="160" customWidth="1"/>
    <col min="1574" max="1574" width="1" style="160" customWidth="1"/>
    <col min="1575" max="1575" width="10.42578125" style="160" customWidth="1"/>
    <col min="1576" max="1576" width="0.85546875" style="160" customWidth="1"/>
    <col min="1577" max="1577" width="14" style="160" customWidth="1"/>
    <col min="1578" max="1578" width="0.85546875" style="160" customWidth="1"/>
    <col min="1579" max="1579" width="10.85546875" style="160" customWidth="1"/>
    <col min="1580" max="1580" width="1.42578125" style="160" customWidth="1"/>
    <col min="1581" max="1581" width="10.85546875" style="160" customWidth="1"/>
    <col min="1582" max="1582" width="0.85546875" style="160" customWidth="1"/>
    <col min="1583" max="1583" width="16" style="160" customWidth="1"/>
    <col min="1584" max="1584" width="0.5703125" style="160" customWidth="1"/>
    <col min="1585" max="1585" width="9.42578125" style="160" bestFit="1" customWidth="1"/>
    <col min="1586" max="1586" width="1.140625" style="160" customWidth="1"/>
    <col min="1587" max="1817" width="9.140625" style="160"/>
    <col min="1818" max="1818" width="2.140625" style="160" customWidth="1"/>
    <col min="1819" max="1819" width="14" style="160" customWidth="1"/>
    <col min="1820" max="1820" width="0.7109375" style="160" customWidth="1"/>
    <col min="1821" max="1821" width="17.140625" style="160" customWidth="1"/>
    <col min="1822" max="1822" width="1.140625" style="160" customWidth="1"/>
    <col min="1823" max="1823" width="26.5703125" style="160" customWidth="1"/>
    <col min="1824" max="1824" width="1" style="160" customWidth="1"/>
    <col min="1825" max="1825" width="32.85546875" style="160" customWidth="1"/>
    <col min="1826" max="1826" width="1" style="160" customWidth="1"/>
    <col min="1827" max="1827" width="12.7109375" style="160" customWidth="1"/>
    <col min="1828" max="1828" width="1.28515625" style="160" customWidth="1"/>
    <col min="1829" max="1829" width="11.42578125" style="160" customWidth="1"/>
    <col min="1830" max="1830" width="1" style="160" customWidth="1"/>
    <col min="1831" max="1831" width="10.42578125" style="160" customWidth="1"/>
    <col min="1832" max="1832" width="0.85546875" style="160" customWidth="1"/>
    <col min="1833" max="1833" width="14" style="160" customWidth="1"/>
    <col min="1834" max="1834" width="0.85546875" style="160" customWidth="1"/>
    <col min="1835" max="1835" width="10.85546875" style="160" customWidth="1"/>
    <col min="1836" max="1836" width="1.42578125" style="160" customWidth="1"/>
    <col min="1837" max="1837" width="10.85546875" style="160" customWidth="1"/>
    <col min="1838" max="1838" width="0.85546875" style="160" customWidth="1"/>
    <col min="1839" max="1839" width="16" style="160" customWidth="1"/>
    <col min="1840" max="1840" width="0.5703125" style="160" customWidth="1"/>
    <col min="1841" max="1841" width="9.42578125" style="160" bestFit="1" customWidth="1"/>
    <col min="1842" max="1842" width="1.140625" style="160" customWidth="1"/>
    <col min="1843" max="2073" width="9.140625" style="160"/>
    <col min="2074" max="2074" width="2.140625" style="160" customWidth="1"/>
    <col min="2075" max="2075" width="14" style="160" customWidth="1"/>
    <col min="2076" max="2076" width="0.7109375" style="160" customWidth="1"/>
    <col min="2077" max="2077" width="17.140625" style="160" customWidth="1"/>
    <col min="2078" max="2078" width="1.140625" style="160" customWidth="1"/>
    <col min="2079" max="2079" width="26.5703125" style="160" customWidth="1"/>
    <col min="2080" max="2080" width="1" style="160" customWidth="1"/>
    <col min="2081" max="2081" width="32.85546875" style="160" customWidth="1"/>
    <col min="2082" max="2082" width="1" style="160" customWidth="1"/>
    <col min="2083" max="2083" width="12.7109375" style="160" customWidth="1"/>
    <col min="2084" max="2084" width="1.28515625" style="160" customWidth="1"/>
    <col min="2085" max="2085" width="11.42578125" style="160" customWidth="1"/>
    <col min="2086" max="2086" width="1" style="160" customWidth="1"/>
    <col min="2087" max="2087" width="10.42578125" style="160" customWidth="1"/>
    <col min="2088" max="2088" width="0.85546875" style="160" customWidth="1"/>
    <col min="2089" max="2089" width="14" style="160" customWidth="1"/>
    <col min="2090" max="2090" width="0.85546875" style="160" customWidth="1"/>
    <col min="2091" max="2091" width="10.85546875" style="160" customWidth="1"/>
    <col min="2092" max="2092" width="1.42578125" style="160" customWidth="1"/>
    <col min="2093" max="2093" width="10.85546875" style="160" customWidth="1"/>
    <col min="2094" max="2094" width="0.85546875" style="160" customWidth="1"/>
    <col min="2095" max="2095" width="16" style="160" customWidth="1"/>
    <col min="2096" max="2096" width="0.5703125" style="160" customWidth="1"/>
    <col min="2097" max="2097" width="9.42578125" style="160" bestFit="1" customWidth="1"/>
    <col min="2098" max="2098" width="1.140625" style="160" customWidth="1"/>
    <col min="2099" max="2329" width="9.140625" style="160"/>
    <col min="2330" max="2330" width="2.140625" style="160" customWidth="1"/>
    <col min="2331" max="2331" width="14" style="160" customWidth="1"/>
    <col min="2332" max="2332" width="0.7109375" style="160" customWidth="1"/>
    <col min="2333" max="2333" width="17.140625" style="160" customWidth="1"/>
    <col min="2334" max="2334" width="1.140625" style="160" customWidth="1"/>
    <col min="2335" max="2335" width="26.5703125" style="160" customWidth="1"/>
    <col min="2336" max="2336" width="1" style="160" customWidth="1"/>
    <col min="2337" max="2337" width="32.85546875" style="160" customWidth="1"/>
    <col min="2338" max="2338" width="1" style="160" customWidth="1"/>
    <col min="2339" max="2339" width="12.7109375" style="160" customWidth="1"/>
    <col min="2340" max="2340" width="1.28515625" style="160" customWidth="1"/>
    <col min="2341" max="2341" width="11.42578125" style="160" customWidth="1"/>
    <col min="2342" max="2342" width="1" style="160" customWidth="1"/>
    <col min="2343" max="2343" width="10.42578125" style="160" customWidth="1"/>
    <col min="2344" max="2344" width="0.85546875" style="160" customWidth="1"/>
    <col min="2345" max="2345" width="14" style="160" customWidth="1"/>
    <col min="2346" max="2346" width="0.85546875" style="160" customWidth="1"/>
    <col min="2347" max="2347" width="10.85546875" style="160" customWidth="1"/>
    <col min="2348" max="2348" width="1.42578125" style="160" customWidth="1"/>
    <col min="2349" max="2349" width="10.85546875" style="160" customWidth="1"/>
    <col min="2350" max="2350" width="0.85546875" style="160" customWidth="1"/>
    <col min="2351" max="2351" width="16" style="160" customWidth="1"/>
    <col min="2352" max="2352" width="0.5703125" style="160" customWidth="1"/>
    <col min="2353" max="2353" width="9.42578125" style="160" bestFit="1" customWidth="1"/>
    <col min="2354" max="2354" width="1.140625" style="160" customWidth="1"/>
    <col min="2355" max="2585" width="9.140625" style="160"/>
    <col min="2586" max="2586" width="2.140625" style="160" customWidth="1"/>
    <col min="2587" max="2587" width="14" style="160" customWidth="1"/>
    <col min="2588" max="2588" width="0.7109375" style="160" customWidth="1"/>
    <col min="2589" max="2589" width="17.140625" style="160" customWidth="1"/>
    <col min="2590" max="2590" width="1.140625" style="160" customWidth="1"/>
    <col min="2591" max="2591" width="26.5703125" style="160" customWidth="1"/>
    <col min="2592" max="2592" width="1" style="160" customWidth="1"/>
    <col min="2593" max="2593" width="32.85546875" style="160" customWidth="1"/>
    <col min="2594" max="2594" width="1" style="160" customWidth="1"/>
    <col min="2595" max="2595" width="12.7109375" style="160" customWidth="1"/>
    <col min="2596" max="2596" width="1.28515625" style="160" customWidth="1"/>
    <col min="2597" max="2597" width="11.42578125" style="160" customWidth="1"/>
    <col min="2598" max="2598" width="1" style="160" customWidth="1"/>
    <col min="2599" max="2599" width="10.42578125" style="160" customWidth="1"/>
    <col min="2600" max="2600" width="0.85546875" style="160" customWidth="1"/>
    <col min="2601" max="2601" width="14" style="160" customWidth="1"/>
    <col min="2602" max="2602" width="0.85546875" style="160" customWidth="1"/>
    <col min="2603" max="2603" width="10.85546875" style="160" customWidth="1"/>
    <col min="2604" max="2604" width="1.42578125" style="160" customWidth="1"/>
    <col min="2605" max="2605" width="10.85546875" style="160" customWidth="1"/>
    <col min="2606" max="2606" width="0.85546875" style="160" customWidth="1"/>
    <col min="2607" max="2607" width="16" style="160" customWidth="1"/>
    <col min="2608" max="2608" width="0.5703125" style="160" customWidth="1"/>
    <col min="2609" max="2609" width="9.42578125" style="160" bestFit="1" customWidth="1"/>
    <col min="2610" max="2610" width="1.140625" style="160" customWidth="1"/>
    <col min="2611" max="2841" width="9.140625" style="160"/>
    <col min="2842" max="2842" width="2.140625" style="160" customWidth="1"/>
    <col min="2843" max="2843" width="14" style="160" customWidth="1"/>
    <col min="2844" max="2844" width="0.7109375" style="160" customWidth="1"/>
    <col min="2845" max="2845" width="17.140625" style="160" customWidth="1"/>
    <col min="2846" max="2846" width="1.140625" style="160" customWidth="1"/>
    <col min="2847" max="2847" width="26.5703125" style="160" customWidth="1"/>
    <col min="2848" max="2848" width="1" style="160" customWidth="1"/>
    <col min="2849" max="2849" width="32.85546875" style="160" customWidth="1"/>
    <col min="2850" max="2850" width="1" style="160" customWidth="1"/>
    <col min="2851" max="2851" width="12.7109375" style="160" customWidth="1"/>
    <col min="2852" max="2852" width="1.28515625" style="160" customWidth="1"/>
    <col min="2853" max="2853" width="11.42578125" style="160" customWidth="1"/>
    <col min="2854" max="2854" width="1" style="160" customWidth="1"/>
    <col min="2855" max="2855" width="10.42578125" style="160" customWidth="1"/>
    <col min="2856" max="2856" width="0.85546875" style="160" customWidth="1"/>
    <col min="2857" max="2857" width="14" style="160" customWidth="1"/>
    <col min="2858" max="2858" width="0.85546875" style="160" customWidth="1"/>
    <col min="2859" max="2859" width="10.85546875" style="160" customWidth="1"/>
    <col min="2860" max="2860" width="1.42578125" style="160" customWidth="1"/>
    <col min="2861" max="2861" width="10.85546875" style="160" customWidth="1"/>
    <col min="2862" max="2862" width="0.85546875" style="160" customWidth="1"/>
    <col min="2863" max="2863" width="16" style="160" customWidth="1"/>
    <col min="2864" max="2864" width="0.5703125" style="160" customWidth="1"/>
    <col min="2865" max="2865" width="9.42578125" style="160" bestFit="1" customWidth="1"/>
    <col min="2866" max="2866" width="1.140625" style="160" customWidth="1"/>
    <col min="2867" max="3097" width="9.140625" style="160"/>
    <col min="3098" max="3098" width="2.140625" style="160" customWidth="1"/>
    <col min="3099" max="3099" width="14" style="160" customWidth="1"/>
    <col min="3100" max="3100" width="0.7109375" style="160" customWidth="1"/>
    <col min="3101" max="3101" width="17.140625" style="160" customWidth="1"/>
    <col min="3102" max="3102" width="1.140625" style="160" customWidth="1"/>
    <col min="3103" max="3103" width="26.5703125" style="160" customWidth="1"/>
    <col min="3104" max="3104" width="1" style="160" customWidth="1"/>
    <col min="3105" max="3105" width="32.85546875" style="160" customWidth="1"/>
    <col min="3106" max="3106" width="1" style="160" customWidth="1"/>
    <col min="3107" max="3107" width="12.7109375" style="160" customWidth="1"/>
    <col min="3108" max="3108" width="1.28515625" style="160" customWidth="1"/>
    <col min="3109" max="3109" width="11.42578125" style="160" customWidth="1"/>
    <col min="3110" max="3110" width="1" style="160" customWidth="1"/>
    <col min="3111" max="3111" width="10.42578125" style="160" customWidth="1"/>
    <col min="3112" max="3112" width="0.85546875" style="160" customWidth="1"/>
    <col min="3113" max="3113" width="14" style="160" customWidth="1"/>
    <col min="3114" max="3114" width="0.85546875" style="160" customWidth="1"/>
    <col min="3115" max="3115" width="10.85546875" style="160" customWidth="1"/>
    <col min="3116" max="3116" width="1.42578125" style="160" customWidth="1"/>
    <col min="3117" max="3117" width="10.85546875" style="160" customWidth="1"/>
    <col min="3118" max="3118" width="0.85546875" style="160" customWidth="1"/>
    <col min="3119" max="3119" width="16" style="160" customWidth="1"/>
    <col min="3120" max="3120" width="0.5703125" style="160" customWidth="1"/>
    <col min="3121" max="3121" width="9.42578125" style="160" bestFit="1" customWidth="1"/>
    <col min="3122" max="3122" width="1.140625" style="160" customWidth="1"/>
    <col min="3123" max="3353" width="9.140625" style="160"/>
    <col min="3354" max="3354" width="2.140625" style="160" customWidth="1"/>
    <col min="3355" max="3355" width="14" style="160" customWidth="1"/>
    <col min="3356" max="3356" width="0.7109375" style="160" customWidth="1"/>
    <col min="3357" max="3357" width="17.140625" style="160" customWidth="1"/>
    <col min="3358" max="3358" width="1.140625" style="160" customWidth="1"/>
    <col min="3359" max="3359" width="26.5703125" style="160" customWidth="1"/>
    <col min="3360" max="3360" width="1" style="160" customWidth="1"/>
    <col min="3361" max="3361" width="32.85546875" style="160" customWidth="1"/>
    <col min="3362" max="3362" width="1" style="160" customWidth="1"/>
    <col min="3363" max="3363" width="12.7109375" style="160" customWidth="1"/>
    <col min="3364" max="3364" width="1.28515625" style="160" customWidth="1"/>
    <col min="3365" max="3365" width="11.42578125" style="160" customWidth="1"/>
    <col min="3366" max="3366" width="1" style="160" customWidth="1"/>
    <col min="3367" max="3367" width="10.42578125" style="160" customWidth="1"/>
    <col min="3368" max="3368" width="0.85546875" style="160" customWidth="1"/>
    <col min="3369" max="3369" width="14" style="160" customWidth="1"/>
    <col min="3370" max="3370" width="0.85546875" style="160" customWidth="1"/>
    <col min="3371" max="3371" width="10.85546875" style="160" customWidth="1"/>
    <col min="3372" max="3372" width="1.42578125" style="160" customWidth="1"/>
    <col min="3373" max="3373" width="10.85546875" style="160" customWidth="1"/>
    <col min="3374" max="3374" width="0.85546875" style="160" customWidth="1"/>
    <col min="3375" max="3375" width="16" style="160" customWidth="1"/>
    <col min="3376" max="3376" width="0.5703125" style="160" customWidth="1"/>
    <col min="3377" max="3377" width="9.42578125" style="160" bestFit="1" customWidth="1"/>
    <col min="3378" max="3378" width="1.140625" style="160" customWidth="1"/>
    <col min="3379" max="3609" width="9.140625" style="160"/>
    <col min="3610" max="3610" width="2.140625" style="160" customWidth="1"/>
    <col min="3611" max="3611" width="14" style="160" customWidth="1"/>
    <col min="3612" max="3612" width="0.7109375" style="160" customWidth="1"/>
    <col min="3613" max="3613" width="17.140625" style="160" customWidth="1"/>
    <col min="3614" max="3614" width="1.140625" style="160" customWidth="1"/>
    <col min="3615" max="3615" width="26.5703125" style="160" customWidth="1"/>
    <col min="3616" max="3616" width="1" style="160" customWidth="1"/>
    <col min="3617" max="3617" width="32.85546875" style="160" customWidth="1"/>
    <col min="3618" max="3618" width="1" style="160" customWidth="1"/>
    <col min="3619" max="3619" width="12.7109375" style="160" customWidth="1"/>
    <col min="3620" max="3620" width="1.28515625" style="160" customWidth="1"/>
    <col min="3621" max="3621" width="11.42578125" style="160" customWidth="1"/>
    <col min="3622" max="3622" width="1" style="160" customWidth="1"/>
    <col min="3623" max="3623" width="10.42578125" style="160" customWidth="1"/>
    <col min="3624" max="3624" width="0.85546875" style="160" customWidth="1"/>
    <col min="3625" max="3625" width="14" style="160" customWidth="1"/>
    <col min="3626" max="3626" width="0.85546875" style="160" customWidth="1"/>
    <col min="3627" max="3627" width="10.85546875" style="160" customWidth="1"/>
    <col min="3628" max="3628" width="1.42578125" style="160" customWidth="1"/>
    <col min="3629" max="3629" width="10.85546875" style="160" customWidth="1"/>
    <col min="3630" max="3630" width="0.85546875" style="160" customWidth="1"/>
    <col min="3631" max="3631" width="16" style="160" customWidth="1"/>
    <col min="3632" max="3632" width="0.5703125" style="160" customWidth="1"/>
    <col min="3633" max="3633" width="9.42578125" style="160" bestFit="1" customWidth="1"/>
    <col min="3634" max="3634" width="1.140625" style="160" customWidth="1"/>
    <col min="3635" max="3865" width="9.140625" style="160"/>
    <col min="3866" max="3866" width="2.140625" style="160" customWidth="1"/>
    <col min="3867" max="3867" width="14" style="160" customWidth="1"/>
    <col min="3868" max="3868" width="0.7109375" style="160" customWidth="1"/>
    <col min="3869" max="3869" width="17.140625" style="160" customWidth="1"/>
    <col min="3870" max="3870" width="1.140625" style="160" customWidth="1"/>
    <col min="3871" max="3871" width="26.5703125" style="160" customWidth="1"/>
    <col min="3872" max="3872" width="1" style="160" customWidth="1"/>
    <col min="3873" max="3873" width="32.85546875" style="160" customWidth="1"/>
    <col min="3874" max="3874" width="1" style="160" customWidth="1"/>
    <col min="3875" max="3875" width="12.7109375" style="160" customWidth="1"/>
    <col min="3876" max="3876" width="1.28515625" style="160" customWidth="1"/>
    <col min="3877" max="3877" width="11.42578125" style="160" customWidth="1"/>
    <col min="3878" max="3878" width="1" style="160" customWidth="1"/>
    <col min="3879" max="3879" width="10.42578125" style="160" customWidth="1"/>
    <col min="3880" max="3880" width="0.85546875" style="160" customWidth="1"/>
    <col min="3881" max="3881" width="14" style="160" customWidth="1"/>
    <col min="3882" max="3882" width="0.85546875" style="160" customWidth="1"/>
    <col min="3883" max="3883" width="10.85546875" style="160" customWidth="1"/>
    <col min="3884" max="3884" width="1.42578125" style="160" customWidth="1"/>
    <col min="3885" max="3885" width="10.85546875" style="160" customWidth="1"/>
    <col min="3886" max="3886" width="0.85546875" style="160" customWidth="1"/>
    <col min="3887" max="3887" width="16" style="160" customWidth="1"/>
    <col min="3888" max="3888" width="0.5703125" style="160" customWidth="1"/>
    <col min="3889" max="3889" width="9.42578125" style="160" bestFit="1" customWidth="1"/>
    <col min="3890" max="3890" width="1.140625" style="160" customWidth="1"/>
    <col min="3891" max="4121" width="9.140625" style="160"/>
    <col min="4122" max="4122" width="2.140625" style="160" customWidth="1"/>
    <col min="4123" max="4123" width="14" style="160" customWidth="1"/>
    <col min="4124" max="4124" width="0.7109375" style="160" customWidth="1"/>
    <col min="4125" max="4125" width="17.140625" style="160" customWidth="1"/>
    <col min="4126" max="4126" width="1.140625" style="160" customWidth="1"/>
    <col min="4127" max="4127" width="26.5703125" style="160" customWidth="1"/>
    <col min="4128" max="4128" width="1" style="160" customWidth="1"/>
    <col min="4129" max="4129" width="32.85546875" style="160" customWidth="1"/>
    <col min="4130" max="4130" width="1" style="160" customWidth="1"/>
    <col min="4131" max="4131" width="12.7109375" style="160" customWidth="1"/>
    <col min="4132" max="4132" width="1.28515625" style="160" customWidth="1"/>
    <col min="4133" max="4133" width="11.42578125" style="160" customWidth="1"/>
    <col min="4134" max="4134" width="1" style="160" customWidth="1"/>
    <col min="4135" max="4135" width="10.42578125" style="160" customWidth="1"/>
    <col min="4136" max="4136" width="0.85546875" style="160" customWidth="1"/>
    <col min="4137" max="4137" width="14" style="160" customWidth="1"/>
    <col min="4138" max="4138" width="0.85546875" style="160" customWidth="1"/>
    <col min="4139" max="4139" width="10.85546875" style="160" customWidth="1"/>
    <col min="4140" max="4140" width="1.42578125" style="160" customWidth="1"/>
    <col min="4141" max="4141" width="10.85546875" style="160" customWidth="1"/>
    <col min="4142" max="4142" width="0.85546875" style="160" customWidth="1"/>
    <col min="4143" max="4143" width="16" style="160" customWidth="1"/>
    <col min="4144" max="4144" width="0.5703125" style="160" customWidth="1"/>
    <col min="4145" max="4145" width="9.42578125" style="160" bestFit="1" customWidth="1"/>
    <col min="4146" max="4146" width="1.140625" style="160" customWidth="1"/>
    <col min="4147" max="4377" width="9.140625" style="160"/>
    <col min="4378" max="4378" width="2.140625" style="160" customWidth="1"/>
    <col min="4379" max="4379" width="14" style="160" customWidth="1"/>
    <col min="4380" max="4380" width="0.7109375" style="160" customWidth="1"/>
    <col min="4381" max="4381" width="17.140625" style="160" customWidth="1"/>
    <col min="4382" max="4382" width="1.140625" style="160" customWidth="1"/>
    <col min="4383" max="4383" width="26.5703125" style="160" customWidth="1"/>
    <col min="4384" max="4384" width="1" style="160" customWidth="1"/>
    <col min="4385" max="4385" width="32.85546875" style="160" customWidth="1"/>
    <col min="4386" max="4386" width="1" style="160" customWidth="1"/>
    <col min="4387" max="4387" width="12.7109375" style="160" customWidth="1"/>
    <col min="4388" max="4388" width="1.28515625" style="160" customWidth="1"/>
    <col min="4389" max="4389" width="11.42578125" style="160" customWidth="1"/>
    <col min="4390" max="4390" width="1" style="160" customWidth="1"/>
    <col min="4391" max="4391" width="10.42578125" style="160" customWidth="1"/>
    <col min="4392" max="4392" width="0.85546875" style="160" customWidth="1"/>
    <col min="4393" max="4393" width="14" style="160" customWidth="1"/>
    <col min="4394" max="4394" width="0.85546875" style="160" customWidth="1"/>
    <col min="4395" max="4395" width="10.85546875" style="160" customWidth="1"/>
    <col min="4396" max="4396" width="1.42578125" style="160" customWidth="1"/>
    <col min="4397" max="4397" width="10.85546875" style="160" customWidth="1"/>
    <col min="4398" max="4398" width="0.85546875" style="160" customWidth="1"/>
    <col min="4399" max="4399" width="16" style="160" customWidth="1"/>
    <col min="4400" max="4400" width="0.5703125" style="160" customWidth="1"/>
    <col min="4401" max="4401" width="9.42578125" style="160" bestFit="1" customWidth="1"/>
    <col min="4402" max="4402" width="1.140625" style="160" customWidth="1"/>
    <col min="4403" max="4633" width="9.140625" style="160"/>
    <col min="4634" max="4634" width="2.140625" style="160" customWidth="1"/>
    <col min="4635" max="4635" width="14" style="160" customWidth="1"/>
    <col min="4636" max="4636" width="0.7109375" style="160" customWidth="1"/>
    <col min="4637" max="4637" width="17.140625" style="160" customWidth="1"/>
    <col min="4638" max="4638" width="1.140625" style="160" customWidth="1"/>
    <col min="4639" max="4639" width="26.5703125" style="160" customWidth="1"/>
    <col min="4640" max="4640" width="1" style="160" customWidth="1"/>
    <col min="4641" max="4641" width="32.85546875" style="160" customWidth="1"/>
    <col min="4642" max="4642" width="1" style="160" customWidth="1"/>
    <col min="4643" max="4643" width="12.7109375" style="160" customWidth="1"/>
    <col min="4644" max="4644" width="1.28515625" style="160" customWidth="1"/>
    <col min="4645" max="4645" width="11.42578125" style="160" customWidth="1"/>
    <col min="4646" max="4646" width="1" style="160" customWidth="1"/>
    <col min="4647" max="4647" width="10.42578125" style="160" customWidth="1"/>
    <col min="4648" max="4648" width="0.85546875" style="160" customWidth="1"/>
    <col min="4649" max="4649" width="14" style="160" customWidth="1"/>
    <col min="4650" max="4650" width="0.85546875" style="160" customWidth="1"/>
    <col min="4651" max="4651" width="10.85546875" style="160" customWidth="1"/>
    <col min="4652" max="4652" width="1.42578125" style="160" customWidth="1"/>
    <col min="4653" max="4653" width="10.85546875" style="160" customWidth="1"/>
    <col min="4654" max="4654" width="0.85546875" style="160" customWidth="1"/>
    <col min="4655" max="4655" width="16" style="160" customWidth="1"/>
    <col min="4656" max="4656" width="0.5703125" style="160" customWidth="1"/>
    <col min="4657" max="4657" width="9.42578125" style="160" bestFit="1" customWidth="1"/>
    <col min="4658" max="4658" width="1.140625" style="160" customWidth="1"/>
    <col min="4659" max="4889" width="9.140625" style="160"/>
    <col min="4890" max="4890" width="2.140625" style="160" customWidth="1"/>
    <col min="4891" max="4891" width="14" style="160" customWidth="1"/>
    <col min="4892" max="4892" width="0.7109375" style="160" customWidth="1"/>
    <col min="4893" max="4893" width="17.140625" style="160" customWidth="1"/>
    <col min="4894" max="4894" width="1.140625" style="160" customWidth="1"/>
    <col min="4895" max="4895" width="26.5703125" style="160" customWidth="1"/>
    <col min="4896" max="4896" width="1" style="160" customWidth="1"/>
    <col min="4897" max="4897" width="32.85546875" style="160" customWidth="1"/>
    <col min="4898" max="4898" width="1" style="160" customWidth="1"/>
    <col min="4899" max="4899" width="12.7109375" style="160" customWidth="1"/>
    <col min="4900" max="4900" width="1.28515625" style="160" customWidth="1"/>
    <col min="4901" max="4901" width="11.42578125" style="160" customWidth="1"/>
    <col min="4902" max="4902" width="1" style="160" customWidth="1"/>
    <col min="4903" max="4903" width="10.42578125" style="160" customWidth="1"/>
    <col min="4904" max="4904" width="0.85546875" style="160" customWidth="1"/>
    <col min="4905" max="4905" width="14" style="160" customWidth="1"/>
    <col min="4906" max="4906" width="0.85546875" style="160" customWidth="1"/>
    <col min="4907" max="4907" width="10.85546875" style="160" customWidth="1"/>
    <col min="4908" max="4908" width="1.42578125" style="160" customWidth="1"/>
    <col min="4909" max="4909" width="10.85546875" style="160" customWidth="1"/>
    <col min="4910" max="4910" width="0.85546875" style="160" customWidth="1"/>
    <col min="4911" max="4911" width="16" style="160" customWidth="1"/>
    <col min="4912" max="4912" width="0.5703125" style="160" customWidth="1"/>
    <col min="4913" max="4913" width="9.42578125" style="160" bestFit="1" customWidth="1"/>
    <col min="4914" max="4914" width="1.140625" style="160" customWidth="1"/>
    <col min="4915" max="5145" width="9.140625" style="160"/>
    <col min="5146" max="5146" width="2.140625" style="160" customWidth="1"/>
    <col min="5147" max="5147" width="14" style="160" customWidth="1"/>
    <col min="5148" max="5148" width="0.7109375" style="160" customWidth="1"/>
    <col min="5149" max="5149" width="17.140625" style="160" customWidth="1"/>
    <col min="5150" max="5150" width="1.140625" style="160" customWidth="1"/>
    <col min="5151" max="5151" width="26.5703125" style="160" customWidth="1"/>
    <col min="5152" max="5152" width="1" style="160" customWidth="1"/>
    <col min="5153" max="5153" width="32.85546875" style="160" customWidth="1"/>
    <col min="5154" max="5154" width="1" style="160" customWidth="1"/>
    <col min="5155" max="5155" width="12.7109375" style="160" customWidth="1"/>
    <col min="5156" max="5156" width="1.28515625" style="160" customWidth="1"/>
    <col min="5157" max="5157" width="11.42578125" style="160" customWidth="1"/>
    <col min="5158" max="5158" width="1" style="160" customWidth="1"/>
    <col min="5159" max="5159" width="10.42578125" style="160" customWidth="1"/>
    <col min="5160" max="5160" width="0.85546875" style="160" customWidth="1"/>
    <col min="5161" max="5161" width="14" style="160" customWidth="1"/>
    <col min="5162" max="5162" width="0.85546875" style="160" customWidth="1"/>
    <col min="5163" max="5163" width="10.85546875" style="160" customWidth="1"/>
    <col min="5164" max="5164" width="1.42578125" style="160" customWidth="1"/>
    <col min="5165" max="5165" width="10.85546875" style="160" customWidth="1"/>
    <col min="5166" max="5166" width="0.85546875" style="160" customWidth="1"/>
    <col min="5167" max="5167" width="16" style="160" customWidth="1"/>
    <col min="5168" max="5168" width="0.5703125" style="160" customWidth="1"/>
    <col min="5169" max="5169" width="9.42578125" style="160" bestFit="1" customWidth="1"/>
    <col min="5170" max="5170" width="1.140625" style="160" customWidth="1"/>
    <col min="5171" max="5401" width="9.140625" style="160"/>
    <col min="5402" max="5402" width="2.140625" style="160" customWidth="1"/>
    <col min="5403" max="5403" width="14" style="160" customWidth="1"/>
    <col min="5404" max="5404" width="0.7109375" style="160" customWidth="1"/>
    <col min="5405" max="5405" width="17.140625" style="160" customWidth="1"/>
    <col min="5406" max="5406" width="1.140625" style="160" customWidth="1"/>
    <col min="5407" max="5407" width="26.5703125" style="160" customWidth="1"/>
    <col min="5408" max="5408" width="1" style="160" customWidth="1"/>
    <col min="5409" max="5409" width="32.85546875" style="160" customWidth="1"/>
    <col min="5410" max="5410" width="1" style="160" customWidth="1"/>
    <col min="5411" max="5411" width="12.7109375" style="160" customWidth="1"/>
    <col min="5412" max="5412" width="1.28515625" style="160" customWidth="1"/>
    <col min="5413" max="5413" width="11.42578125" style="160" customWidth="1"/>
    <col min="5414" max="5414" width="1" style="160" customWidth="1"/>
    <col min="5415" max="5415" width="10.42578125" style="160" customWidth="1"/>
    <col min="5416" max="5416" width="0.85546875" style="160" customWidth="1"/>
    <col min="5417" max="5417" width="14" style="160" customWidth="1"/>
    <col min="5418" max="5418" width="0.85546875" style="160" customWidth="1"/>
    <col min="5419" max="5419" width="10.85546875" style="160" customWidth="1"/>
    <col min="5420" max="5420" width="1.42578125" style="160" customWidth="1"/>
    <col min="5421" max="5421" width="10.85546875" style="160" customWidth="1"/>
    <col min="5422" max="5422" width="0.85546875" style="160" customWidth="1"/>
    <col min="5423" max="5423" width="16" style="160" customWidth="1"/>
    <col min="5424" max="5424" width="0.5703125" style="160" customWidth="1"/>
    <col min="5425" max="5425" width="9.42578125" style="160" bestFit="1" customWidth="1"/>
    <col min="5426" max="5426" width="1.140625" style="160" customWidth="1"/>
    <col min="5427" max="5657" width="9.140625" style="160"/>
    <col min="5658" max="5658" width="2.140625" style="160" customWidth="1"/>
    <col min="5659" max="5659" width="14" style="160" customWidth="1"/>
    <col min="5660" max="5660" width="0.7109375" style="160" customWidth="1"/>
    <col min="5661" max="5661" width="17.140625" style="160" customWidth="1"/>
    <col min="5662" max="5662" width="1.140625" style="160" customWidth="1"/>
    <col min="5663" max="5663" width="26.5703125" style="160" customWidth="1"/>
    <col min="5664" max="5664" width="1" style="160" customWidth="1"/>
    <col min="5665" max="5665" width="32.85546875" style="160" customWidth="1"/>
    <col min="5666" max="5666" width="1" style="160" customWidth="1"/>
    <col min="5667" max="5667" width="12.7109375" style="160" customWidth="1"/>
    <col min="5668" max="5668" width="1.28515625" style="160" customWidth="1"/>
    <col min="5669" max="5669" width="11.42578125" style="160" customWidth="1"/>
    <col min="5670" max="5670" width="1" style="160" customWidth="1"/>
    <col min="5671" max="5671" width="10.42578125" style="160" customWidth="1"/>
    <col min="5672" max="5672" width="0.85546875" style="160" customWidth="1"/>
    <col min="5673" max="5673" width="14" style="160" customWidth="1"/>
    <col min="5674" max="5674" width="0.85546875" style="160" customWidth="1"/>
    <col min="5675" max="5675" width="10.85546875" style="160" customWidth="1"/>
    <col min="5676" max="5676" width="1.42578125" style="160" customWidth="1"/>
    <col min="5677" max="5677" width="10.85546875" style="160" customWidth="1"/>
    <col min="5678" max="5678" width="0.85546875" style="160" customWidth="1"/>
    <col min="5679" max="5679" width="16" style="160" customWidth="1"/>
    <col min="5680" max="5680" width="0.5703125" style="160" customWidth="1"/>
    <col min="5681" max="5681" width="9.42578125" style="160" bestFit="1" customWidth="1"/>
    <col min="5682" max="5682" width="1.140625" style="160" customWidth="1"/>
    <col min="5683" max="5913" width="9.140625" style="160"/>
    <col min="5914" max="5914" width="2.140625" style="160" customWidth="1"/>
    <col min="5915" max="5915" width="14" style="160" customWidth="1"/>
    <col min="5916" max="5916" width="0.7109375" style="160" customWidth="1"/>
    <col min="5917" max="5917" width="17.140625" style="160" customWidth="1"/>
    <col min="5918" max="5918" width="1.140625" style="160" customWidth="1"/>
    <col min="5919" max="5919" width="26.5703125" style="160" customWidth="1"/>
    <col min="5920" max="5920" width="1" style="160" customWidth="1"/>
    <col min="5921" max="5921" width="32.85546875" style="160" customWidth="1"/>
    <col min="5922" max="5922" width="1" style="160" customWidth="1"/>
    <col min="5923" max="5923" width="12.7109375" style="160" customWidth="1"/>
    <col min="5924" max="5924" width="1.28515625" style="160" customWidth="1"/>
    <col min="5925" max="5925" width="11.42578125" style="160" customWidth="1"/>
    <col min="5926" max="5926" width="1" style="160" customWidth="1"/>
    <col min="5927" max="5927" width="10.42578125" style="160" customWidth="1"/>
    <col min="5928" max="5928" width="0.85546875" style="160" customWidth="1"/>
    <col min="5929" max="5929" width="14" style="160" customWidth="1"/>
    <col min="5930" max="5930" width="0.85546875" style="160" customWidth="1"/>
    <col min="5931" max="5931" width="10.85546875" style="160" customWidth="1"/>
    <col min="5932" max="5932" width="1.42578125" style="160" customWidth="1"/>
    <col min="5933" max="5933" width="10.85546875" style="160" customWidth="1"/>
    <col min="5934" max="5934" width="0.85546875" style="160" customWidth="1"/>
    <col min="5935" max="5935" width="16" style="160" customWidth="1"/>
    <col min="5936" max="5936" width="0.5703125" style="160" customWidth="1"/>
    <col min="5937" max="5937" width="9.42578125" style="160" bestFit="1" customWidth="1"/>
    <col min="5938" max="5938" width="1.140625" style="160" customWidth="1"/>
    <col min="5939" max="6169" width="9.140625" style="160"/>
    <col min="6170" max="6170" width="2.140625" style="160" customWidth="1"/>
    <col min="6171" max="6171" width="14" style="160" customWidth="1"/>
    <col min="6172" max="6172" width="0.7109375" style="160" customWidth="1"/>
    <col min="6173" max="6173" width="17.140625" style="160" customWidth="1"/>
    <col min="6174" max="6174" width="1.140625" style="160" customWidth="1"/>
    <col min="6175" max="6175" width="26.5703125" style="160" customWidth="1"/>
    <col min="6176" max="6176" width="1" style="160" customWidth="1"/>
    <col min="6177" max="6177" width="32.85546875" style="160" customWidth="1"/>
    <col min="6178" max="6178" width="1" style="160" customWidth="1"/>
    <col min="6179" max="6179" width="12.7109375" style="160" customWidth="1"/>
    <col min="6180" max="6180" width="1.28515625" style="160" customWidth="1"/>
    <col min="6181" max="6181" width="11.42578125" style="160" customWidth="1"/>
    <col min="6182" max="6182" width="1" style="160" customWidth="1"/>
    <col min="6183" max="6183" width="10.42578125" style="160" customWidth="1"/>
    <col min="6184" max="6184" width="0.85546875" style="160" customWidth="1"/>
    <col min="6185" max="6185" width="14" style="160" customWidth="1"/>
    <col min="6186" max="6186" width="0.85546875" style="160" customWidth="1"/>
    <col min="6187" max="6187" width="10.85546875" style="160" customWidth="1"/>
    <col min="6188" max="6188" width="1.42578125" style="160" customWidth="1"/>
    <col min="6189" max="6189" width="10.85546875" style="160" customWidth="1"/>
    <col min="6190" max="6190" width="0.85546875" style="160" customWidth="1"/>
    <col min="6191" max="6191" width="16" style="160" customWidth="1"/>
    <col min="6192" max="6192" width="0.5703125" style="160" customWidth="1"/>
    <col min="6193" max="6193" width="9.42578125" style="160" bestFit="1" customWidth="1"/>
    <col min="6194" max="6194" width="1.140625" style="160" customWidth="1"/>
    <col min="6195" max="6425" width="9.140625" style="160"/>
    <col min="6426" max="6426" width="2.140625" style="160" customWidth="1"/>
    <col min="6427" max="6427" width="14" style="160" customWidth="1"/>
    <col min="6428" max="6428" width="0.7109375" style="160" customWidth="1"/>
    <col min="6429" max="6429" width="17.140625" style="160" customWidth="1"/>
    <col min="6430" max="6430" width="1.140625" style="160" customWidth="1"/>
    <col min="6431" max="6431" width="26.5703125" style="160" customWidth="1"/>
    <col min="6432" max="6432" width="1" style="160" customWidth="1"/>
    <col min="6433" max="6433" width="32.85546875" style="160" customWidth="1"/>
    <col min="6434" max="6434" width="1" style="160" customWidth="1"/>
    <col min="6435" max="6435" width="12.7109375" style="160" customWidth="1"/>
    <col min="6436" max="6436" width="1.28515625" style="160" customWidth="1"/>
    <col min="6437" max="6437" width="11.42578125" style="160" customWidth="1"/>
    <col min="6438" max="6438" width="1" style="160" customWidth="1"/>
    <col min="6439" max="6439" width="10.42578125" style="160" customWidth="1"/>
    <col min="6440" max="6440" width="0.85546875" style="160" customWidth="1"/>
    <col min="6441" max="6441" width="14" style="160" customWidth="1"/>
    <col min="6442" max="6442" width="0.85546875" style="160" customWidth="1"/>
    <col min="6443" max="6443" width="10.85546875" style="160" customWidth="1"/>
    <col min="6444" max="6444" width="1.42578125" style="160" customWidth="1"/>
    <col min="6445" max="6445" width="10.85546875" style="160" customWidth="1"/>
    <col min="6446" max="6446" width="0.85546875" style="160" customWidth="1"/>
    <col min="6447" max="6447" width="16" style="160" customWidth="1"/>
    <col min="6448" max="6448" width="0.5703125" style="160" customWidth="1"/>
    <col min="6449" max="6449" width="9.42578125" style="160" bestFit="1" customWidth="1"/>
    <col min="6450" max="6450" width="1.140625" style="160" customWidth="1"/>
    <col min="6451" max="6681" width="9.140625" style="160"/>
    <col min="6682" max="6682" width="2.140625" style="160" customWidth="1"/>
    <col min="6683" max="6683" width="14" style="160" customWidth="1"/>
    <col min="6684" max="6684" width="0.7109375" style="160" customWidth="1"/>
    <col min="6685" max="6685" width="17.140625" style="160" customWidth="1"/>
    <col min="6686" max="6686" width="1.140625" style="160" customWidth="1"/>
    <col min="6687" max="6687" width="26.5703125" style="160" customWidth="1"/>
    <col min="6688" max="6688" width="1" style="160" customWidth="1"/>
    <col min="6689" max="6689" width="32.85546875" style="160" customWidth="1"/>
    <col min="6690" max="6690" width="1" style="160" customWidth="1"/>
    <col min="6691" max="6691" width="12.7109375" style="160" customWidth="1"/>
    <col min="6692" max="6692" width="1.28515625" style="160" customWidth="1"/>
    <col min="6693" max="6693" width="11.42578125" style="160" customWidth="1"/>
    <col min="6694" max="6694" width="1" style="160" customWidth="1"/>
    <col min="6695" max="6695" width="10.42578125" style="160" customWidth="1"/>
    <col min="6696" max="6696" width="0.85546875" style="160" customWidth="1"/>
    <col min="6697" max="6697" width="14" style="160" customWidth="1"/>
    <col min="6698" max="6698" width="0.85546875" style="160" customWidth="1"/>
    <col min="6699" max="6699" width="10.85546875" style="160" customWidth="1"/>
    <col min="6700" max="6700" width="1.42578125" style="160" customWidth="1"/>
    <col min="6701" max="6701" width="10.85546875" style="160" customWidth="1"/>
    <col min="6702" max="6702" width="0.85546875" style="160" customWidth="1"/>
    <col min="6703" max="6703" width="16" style="160" customWidth="1"/>
    <col min="6704" max="6704" width="0.5703125" style="160" customWidth="1"/>
    <col min="6705" max="6705" width="9.42578125" style="160" bestFit="1" customWidth="1"/>
    <col min="6706" max="6706" width="1.140625" style="160" customWidth="1"/>
    <col min="6707" max="6937" width="9.140625" style="160"/>
    <col min="6938" max="6938" width="2.140625" style="160" customWidth="1"/>
    <col min="6939" max="6939" width="14" style="160" customWidth="1"/>
    <col min="6940" max="6940" width="0.7109375" style="160" customWidth="1"/>
    <col min="6941" max="6941" width="17.140625" style="160" customWidth="1"/>
    <col min="6942" max="6942" width="1.140625" style="160" customWidth="1"/>
    <col min="6943" max="6943" width="26.5703125" style="160" customWidth="1"/>
    <col min="6944" max="6944" width="1" style="160" customWidth="1"/>
    <col min="6945" max="6945" width="32.85546875" style="160" customWidth="1"/>
    <col min="6946" max="6946" width="1" style="160" customWidth="1"/>
    <col min="6947" max="6947" width="12.7109375" style="160" customWidth="1"/>
    <col min="6948" max="6948" width="1.28515625" style="160" customWidth="1"/>
    <col min="6949" max="6949" width="11.42578125" style="160" customWidth="1"/>
    <col min="6950" max="6950" width="1" style="160" customWidth="1"/>
    <col min="6951" max="6951" width="10.42578125" style="160" customWidth="1"/>
    <col min="6952" max="6952" width="0.85546875" style="160" customWidth="1"/>
    <col min="6953" max="6953" width="14" style="160" customWidth="1"/>
    <col min="6954" max="6954" width="0.85546875" style="160" customWidth="1"/>
    <col min="6955" max="6955" width="10.85546875" style="160" customWidth="1"/>
    <col min="6956" max="6956" width="1.42578125" style="160" customWidth="1"/>
    <col min="6957" max="6957" width="10.85546875" style="160" customWidth="1"/>
    <col min="6958" max="6958" width="0.85546875" style="160" customWidth="1"/>
    <col min="6959" max="6959" width="16" style="160" customWidth="1"/>
    <col min="6960" max="6960" width="0.5703125" style="160" customWidth="1"/>
    <col min="6961" max="6961" width="9.42578125" style="160" bestFit="1" customWidth="1"/>
    <col min="6962" max="6962" width="1.140625" style="160" customWidth="1"/>
    <col min="6963" max="7193" width="9.140625" style="160"/>
    <col min="7194" max="7194" width="2.140625" style="160" customWidth="1"/>
    <col min="7195" max="7195" width="14" style="160" customWidth="1"/>
    <col min="7196" max="7196" width="0.7109375" style="160" customWidth="1"/>
    <col min="7197" max="7197" width="17.140625" style="160" customWidth="1"/>
    <col min="7198" max="7198" width="1.140625" style="160" customWidth="1"/>
    <col min="7199" max="7199" width="26.5703125" style="160" customWidth="1"/>
    <col min="7200" max="7200" width="1" style="160" customWidth="1"/>
    <col min="7201" max="7201" width="32.85546875" style="160" customWidth="1"/>
    <col min="7202" max="7202" width="1" style="160" customWidth="1"/>
    <col min="7203" max="7203" width="12.7109375" style="160" customWidth="1"/>
    <col min="7204" max="7204" width="1.28515625" style="160" customWidth="1"/>
    <col min="7205" max="7205" width="11.42578125" style="160" customWidth="1"/>
    <col min="7206" max="7206" width="1" style="160" customWidth="1"/>
    <col min="7207" max="7207" width="10.42578125" style="160" customWidth="1"/>
    <col min="7208" max="7208" width="0.85546875" style="160" customWidth="1"/>
    <col min="7209" max="7209" width="14" style="160" customWidth="1"/>
    <col min="7210" max="7210" width="0.85546875" style="160" customWidth="1"/>
    <col min="7211" max="7211" width="10.85546875" style="160" customWidth="1"/>
    <col min="7212" max="7212" width="1.42578125" style="160" customWidth="1"/>
    <col min="7213" max="7213" width="10.85546875" style="160" customWidth="1"/>
    <col min="7214" max="7214" width="0.85546875" style="160" customWidth="1"/>
    <col min="7215" max="7215" width="16" style="160" customWidth="1"/>
    <col min="7216" max="7216" width="0.5703125" style="160" customWidth="1"/>
    <col min="7217" max="7217" width="9.42578125" style="160" bestFit="1" customWidth="1"/>
    <col min="7218" max="7218" width="1.140625" style="160" customWidth="1"/>
    <col min="7219" max="7449" width="9.140625" style="160"/>
    <col min="7450" max="7450" width="2.140625" style="160" customWidth="1"/>
    <col min="7451" max="7451" width="14" style="160" customWidth="1"/>
    <col min="7452" max="7452" width="0.7109375" style="160" customWidth="1"/>
    <col min="7453" max="7453" width="17.140625" style="160" customWidth="1"/>
    <col min="7454" max="7454" width="1.140625" style="160" customWidth="1"/>
    <col min="7455" max="7455" width="26.5703125" style="160" customWidth="1"/>
    <col min="7456" max="7456" width="1" style="160" customWidth="1"/>
    <col min="7457" max="7457" width="32.85546875" style="160" customWidth="1"/>
    <col min="7458" max="7458" width="1" style="160" customWidth="1"/>
    <col min="7459" max="7459" width="12.7109375" style="160" customWidth="1"/>
    <col min="7460" max="7460" width="1.28515625" style="160" customWidth="1"/>
    <col min="7461" max="7461" width="11.42578125" style="160" customWidth="1"/>
    <col min="7462" max="7462" width="1" style="160" customWidth="1"/>
    <col min="7463" max="7463" width="10.42578125" style="160" customWidth="1"/>
    <col min="7464" max="7464" width="0.85546875" style="160" customWidth="1"/>
    <col min="7465" max="7465" width="14" style="160" customWidth="1"/>
    <col min="7466" max="7466" width="0.85546875" style="160" customWidth="1"/>
    <col min="7467" max="7467" width="10.85546875" style="160" customWidth="1"/>
    <col min="7468" max="7468" width="1.42578125" style="160" customWidth="1"/>
    <col min="7469" max="7469" width="10.85546875" style="160" customWidth="1"/>
    <col min="7470" max="7470" width="0.85546875" style="160" customWidth="1"/>
    <col min="7471" max="7471" width="16" style="160" customWidth="1"/>
    <col min="7472" max="7472" width="0.5703125" style="160" customWidth="1"/>
    <col min="7473" max="7473" width="9.42578125" style="160" bestFit="1" customWidth="1"/>
    <col min="7474" max="7474" width="1.140625" style="160" customWidth="1"/>
    <col min="7475" max="7705" width="9.140625" style="160"/>
    <col min="7706" max="7706" width="2.140625" style="160" customWidth="1"/>
    <col min="7707" max="7707" width="14" style="160" customWidth="1"/>
    <col min="7708" max="7708" width="0.7109375" style="160" customWidth="1"/>
    <col min="7709" max="7709" width="17.140625" style="160" customWidth="1"/>
    <col min="7710" max="7710" width="1.140625" style="160" customWidth="1"/>
    <col min="7711" max="7711" width="26.5703125" style="160" customWidth="1"/>
    <col min="7712" max="7712" width="1" style="160" customWidth="1"/>
    <col min="7713" max="7713" width="32.85546875" style="160" customWidth="1"/>
    <col min="7714" max="7714" width="1" style="160" customWidth="1"/>
    <col min="7715" max="7715" width="12.7109375" style="160" customWidth="1"/>
    <col min="7716" max="7716" width="1.28515625" style="160" customWidth="1"/>
    <col min="7717" max="7717" width="11.42578125" style="160" customWidth="1"/>
    <col min="7718" max="7718" width="1" style="160" customWidth="1"/>
    <col min="7719" max="7719" width="10.42578125" style="160" customWidth="1"/>
    <col min="7720" max="7720" width="0.85546875" style="160" customWidth="1"/>
    <col min="7721" max="7721" width="14" style="160" customWidth="1"/>
    <col min="7722" max="7722" width="0.85546875" style="160" customWidth="1"/>
    <col min="7723" max="7723" width="10.85546875" style="160" customWidth="1"/>
    <col min="7724" max="7724" width="1.42578125" style="160" customWidth="1"/>
    <col min="7725" max="7725" width="10.85546875" style="160" customWidth="1"/>
    <col min="7726" max="7726" width="0.85546875" style="160" customWidth="1"/>
    <col min="7727" max="7727" width="16" style="160" customWidth="1"/>
    <col min="7728" max="7728" width="0.5703125" style="160" customWidth="1"/>
    <col min="7729" max="7729" width="9.42578125" style="160" bestFit="1" customWidth="1"/>
    <col min="7730" max="7730" width="1.140625" style="160" customWidth="1"/>
    <col min="7731" max="7961" width="9.140625" style="160"/>
    <col min="7962" max="7962" width="2.140625" style="160" customWidth="1"/>
    <col min="7963" max="7963" width="14" style="160" customWidth="1"/>
    <col min="7964" max="7964" width="0.7109375" style="160" customWidth="1"/>
    <col min="7965" max="7965" width="17.140625" style="160" customWidth="1"/>
    <col min="7966" max="7966" width="1.140625" style="160" customWidth="1"/>
    <col min="7967" max="7967" width="26.5703125" style="160" customWidth="1"/>
    <col min="7968" max="7968" width="1" style="160" customWidth="1"/>
    <col min="7969" max="7969" width="32.85546875" style="160" customWidth="1"/>
    <col min="7970" max="7970" width="1" style="160" customWidth="1"/>
    <col min="7971" max="7971" width="12.7109375" style="160" customWidth="1"/>
    <col min="7972" max="7972" width="1.28515625" style="160" customWidth="1"/>
    <col min="7973" max="7973" width="11.42578125" style="160" customWidth="1"/>
    <col min="7974" max="7974" width="1" style="160" customWidth="1"/>
    <col min="7975" max="7975" width="10.42578125" style="160" customWidth="1"/>
    <col min="7976" max="7976" width="0.85546875" style="160" customWidth="1"/>
    <col min="7977" max="7977" width="14" style="160" customWidth="1"/>
    <col min="7978" max="7978" width="0.85546875" style="160" customWidth="1"/>
    <col min="7979" max="7979" width="10.85546875" style="160" customWidth="1"/>
    <col min="7980" max="7980" width="1.42578125" style="160" customWidth="1"/>
    <col min="7981" max="7981" width="10.85546875" style="160" customWidth="1"/>
    <col min="7982" max="7982" width="0.85546875" style="160" customWidth="1"/>
    <col min="7983" max="7983" width="16" style="160" customWidth="1"/>
    <col min="7984" max="7984" width="0.5703125" style="160" customWidth="1"/>
    <col min="7985" max="7985" width="9.42578125" style="160" bestFit="1" customWidth="1"/>
    <col min="7986" max="7986" width="1.140625" style="160" customWidth="1"/>
    <col min="7987" max="8217" width="9.140625" style="160"/>
    <col min="8218" max="8218" width="2.140625" style="160" customWidth="1"/>
    <col min="8219" max="8219" width="14" style="160" customWidth="1"/>
    <col min="8220" max="8220" width="0.7109375" style="160" customWidth="1"/>
    <col min="8221" max="8221" width="17.140625" style="160" customWidth="1"/>
    <col min="8222" max="8222" width="1.140625" style="160" customWidth="1"/>
    <col min="8223" max="8223" width="26.5703125" style="160" customWidth="1"/>
    <col min="8224" max="8224" width="1" style="160" customWidth="1"/>
    <col min="8225" max="8225" width="32.85546875" style="160" customWidth="1"/>
    <col min="8226" max="8226" width="1" style="160" customWidth="1"/>
    <col min="8227" max="8227" width="12.7109375" style="160" customWidth="1"/>
    <col min="8228" max="8228" width="1.28515625" style="160" customWidth="1"/>
    <col min="8229" max="8229" width="11.42578125" style="160" customWidth="1"/>
    <col min="8230" max="8230" width="1" style="160" customWidth="1"/>
    <col min="8231" max="8231" width="10.42578125" style="160" customWidth="1"/>
    <col min="8232" max="8232" width="0.85546875" style="160" customWidth="1"/>
    <col min="8233" max="8233" width="14" style="160" customWidth="1"/>
    <col min="8234" max="8234" width="0.85546875" style="160" customWidth="1"/>
    <col min="8235" max="8235" width="10.85546875" style="160" customWidth="1"/>
    <col min="8236" max="8236" width="1.42578125" style="160" customWidth="1"/>
    <col min="8237" max="8237" width="10.85546875" style="160" customWidth="1"/>
    <col min="8238" max="8238" width="0.85546875" style="160" customWidth="1"/>
    <col min="8239" max="8239" width="16" style="160" customWidth="1"/>
    <col min="8240" max="8240" width="0.5703125" style="160" customWidth="1"/>
    <col min="8241" max="8241" width="9.42578125" style="160" bestFit="1" customWidth="1"/>
    <col min="8242" max="8242" width="1.140625" style="160" customWidth="1"/>
    <col min="8243" max="8473" width="9.140625" style="160"/>
    <col min="8474" max="8474" width="2.140625" style="160" customWidth="1"/>
    <col min="8475" max="8475" width="14" style="160" customWidth="1"/>
    <col min="8476" max="8476" width="0.7109375" style="160" customWidth="1"/>
    <col min="8477" max="8477" width="17.140625" style="160" customWidth="1"/>
    <col min="8478" max="8478" width="1.140625" style="160" customWidth="1"/>
    <col min="8479" max="8479" width="26.5703125" style="160" customWidth="1"/>
    <col min="8480" max="8480" width="1" style="160" customWidth="1"/>
    <col min="8481" max="8481" width="32.85546875" style="160" customWidth="1"/>
    <col min="8482" max="8482" width="1" style="160" customWidth="1"/>
    <col min="8483" max="8483" width="12.7109375" style="160" customWidth="1"/>
    <col min="8484" max="8484" width="1.28515625" style="160" customWidth="1"/>
    <col min="8485" max="8485" width="11.42578125" style="160" customWidth="1"/>
    <col min="8486" max="8486" width="1" style="160" customWidth="1"/>
    <col min="8487" max="8487" width="10.42578125" style="160" customWidth="1"/>
    <col min="8488" max="8488" width="0.85546875" style="160" customWidth="1"/>
    <col min="8489" max="8489" width="14" style="160" customWidth="1"/>
    <col min="8490" max="8490" width="0.85546875" style="160" customWidth="1"/>
    <col min="8491" max="8491" width="10.85546875" style="160" customWidth="1"/>
    <col min="8492" max="8492" width="1.42578125" style="160" customWidth="1"/>
    <col min="8493" max="8493" width="10.85546875" style="160" customWidth="1"/>
    <col min="8494" max="8494" width="0.85546875" style="160" customWidth="1"/>
    <col min="8495" max="8495" width="16" style="160" customWidth="1"/>
    <col min="8496" max="8496" width="0.5703125" style="160" customWidth="1"/>
    <col min="8497" max="8497" width="9.42578125" style="160" bestFit="1" customWidth="1"/>
    <col min="8498" max="8498" width="1.140625" style="160" customWidth="1"/>
    <col min="8499" max="8729" width="9.140625" style="160"/>
    <col min="8730" max="8730" width="2.140625" style="160" customWidth="1"/>
    <col min="8731" max="8731" width="14" style="160" customWidth="1"/>
    <col min="8732" max="8732" width="0.7109375" style="160" customWidth="1"/>
    <col min="8733" max="8733" width="17.140625" style="160" customWidth="1"/>
    <col min="8734" max="8734" width="1.140625" style="160" customWidth="1"/>
    <col min="8735" max="8735" width="26.5703125" style="160" customWidth="1"/>
    <col min="8736" max="8736" width="1" style="160" customWidth="1"/>
    <col min="8737" max="8737" width="32.85546875" style="160" customWidth="1"/>
    <col min="8738" max="8738" width="1" style="160" customWidth="1"/>
    <col min="8739" max="8739" width="12.7109375" style="160" customWidth="1"/>
    <col min="8740" max="8740" width="1.28515625" style="160" customWidth="1"/>
    <col min="8741" max="8741" width="11.42578125" style="160" customWidth="1"/>
    <col min="8742" max="8742" width="1" style="160" customWidth="1"/>
    <col min="8743" max="8743" width="10.42578125" style="160" customWidth="1"/>
    <col min="8744" max="8744" width="0.85546875" style="160" customWidth="1"/>
    <col min="8745" max="8745" width="14" style="160" customWidth="1"/>
    <col min="8746" max="8746" width="0.85546875" style="160" customWidth="1"/>
    <col min="8747" max="8747" width="10.85546875" style="160" customWidth="1"/>
    <col min="8748" max="8748" width="1.42578125" style="160" customWidth="1"/>
    <col min="8749" max="8749" width="10.85546875" style="160" customWidth="1"/>
    <col min="8750" max="8750" width="0.85546875" style="160" customWidth="1"/>
    <col min="8751" max="8751" width="16" style="160" customWidth="1"/>
    <col min="8752" max="8752" width="0.5703125" style="160" customWidth="1"/>
    <col min="8753" max="8753" width="9.42578125" style="160" bestFit="1" customWidth="1"/>
    <col min="8754" max="8754" width="1.140625" style="160" customWidth="1"/>
    <col min="8755" max="8985" width="9.140625" style="160"/>
    <col min="8986" max="8986" width="2.140625" style="160" customWidth="1"/>
    <col min="8987" max="8987" width="14" style="160" customWidth="1"/>
    <col min="8988" max="8988" width="0.7109375" style="160" customWidth="1"/>
    <col min="8989" max="8989" width="17.140625" style="160" customWidth="1"/>
    <col min="8990" max="8990" width="1.140625" style="160" customWidth="1"/>
    <col min="8991" max="8991" width="26.5703125" style="160" customWidth="1"/>
    <col min="8992" max="8992" width="1" style="160" customWidth="1"/>
    <col min="8993" max="8993" width="32.85546875" style="160" customWidth="1"/>
    <col min="8994" max="8994" width="1" style="160" customWidth="1"/>
    <col min="8995" max="8995" width="12.7109375" style="160" customWidth="1"/>
    <col min="8996" max="8996" width="1.28515625" style="160" customWidth="1"/>
    <col min="8997" max="8997" width="11.42578125" style="160" customWidth="1"/>
    <col min="8998" max="8998" width="1" style="160" customWidth="1"/>
    <col min="8999" max="8999" width="10.42578125" style="160" customWidth="1"/>
    <col min="9000" max="9000" width="0.85546875" style="160" customWidth="1"/>
    <col min="9001" max="9001" width="14" style="160" customWidth="1"/>
    <col min="9002" max="9002" width="0.85546875" style="160" customWidth="1"/>
    <col min="9003" max="9003" width="10.85546875" style="160" customWidth="1"/>
    <col min="9004" max="9004" width="1.42578125" style="160" customWidth="1"/>
    <col min="9005" max="9005" width="10.85546875" style="160" customWidth="1"/>
    <col min="9006" max="9006" width="0.85546875" style="160" customWidth="1"/>
    <col min="9007" max="9007" width="16" style="160" customWidth="1"/>
    <col min="9008" max="9008" width="0.5703125" style="160" customWidth="1"/>
    <col min="9009" max="9009" width="9.42578125" style="160" bestFit="1" customWidth="1"/>
    <col min="9010" max="9010" width="1.140625" style="160" customWidth="1"/>
    <col min="9011" max="9241" width="9.140625" style="160"/>
    <col min="9242" max="9242" width="2.140625" style="160" customWidth="1"/>
    <col min="9243" max="9243" width="14" style="160" customWidth="1"/>
    <col min="9244" max="9244" width="0.7109375" style="160" customWidth="1"/>
    <col min="9245" max="9245" width="17.140625" style="160" customWidth="1"/>
    <col min="9246" max="9246" width="1.140625" style="160" customWidth="1"/>
    <col min="9247" max="9247" width="26.5703125" style="160" customWidth="1"/>
    <col min="9248" max="9248" width="1" style="160" customWidth="1"/>
    <col min="9249" max="9249" width="32.85546875" style="160" customWidth="1"/>
    <col min="9250" max="9250" width="1" style="160" customWidth="1"/>
    <col min="9251" max="9251" width="12.7109375" style="160" customWidth="1"/>
    <col min="9252" max="9252" width="1.28515625" style="160" customWidth="1"/>
    <col min="9253" max="9253" width="11.42578125" style="160" customWidth="1"/>
    <col min="9254" max="9254" width="1" style="160" customWidth="1"/>
    <col min="9255" max="9255" width="10.42578125" style="160" customWidth="1"/>
    <col min="9256" max="9256" width="0.85546875" style="160" customWidth="1"/>
    <col min="9257" max="9257" width="14" style="160" customWidth="1"/>
    <col min="9258" max="9258" width="0.85546875" style="160" customWidth="1"/>
    <col min="9259" max="9259" width="10.85546875" style="160" customWidth="1"/>
    <col min="9260" max="9260" width="1.42578125" style="160" customWidth="1"/>
    <col min="9261" max="9261" width="10.85546875" style="160" customWidth="1"/>
    <col min="9262" max="9262" width="0.85546875" style="160" customWidth="1"/>
    <col min="9263" max="9263" width="16" style="160" customWidth="1"/>
    <col min="9264" max="9264" width="0.5703125" style="160" customWidth="1"/>
    <col min="9265" max="9265" width="9.42578125" style="160" bestFit="1" customWidth="1"/>
    <col min="9266" max="9266" width="1.140625" style="160" customWidth="1"/>
    <col min="9267" max="9497" width="9.140625" style="160"/>
    <col min="9498" max="9498" width="2.140625" style="160" customWidth="1"/>
    <col min="9499" max="9499" width="14" style="160" customWidth="1"/>
    <col min="9500" max="9500" width="0.7109375" style="160" customWidth="1"/>
    <col min="9501" max="9501" width="17.140625" style="160" customWidth="1"/>
    <col min="9502" max="9502" width="1.140625" style="160" customWidth="1"/>
    <col min="9503" max="9503" width="26.5703125" style="160" customWidth="1"/>
    <col min="9504" max="9504" width="1" style="160" customWidth="1"/>
    <col min="9505" max="9505" width="32.85546875" style="160" customWidth="1"/>
    <col min="9506" max="9506" width="1" style="160" customWidth="1"/>
    <col min="9507" max="9507" width="12.7109375" style="160" customWidth="1"/>
    <col min="9508" max="9508" width="1.28515625" style="160" customWidth="1"/>
    <col min="9509" max="9509" width="11.42578125" style="160" customWidth="1"/>
    <col min="9510" max="9510" width="1" style="160" customWidth="1"/>
    <col min="9511" max="9511" width="10.42578125" style="160" customWidth="1"/>
    <col min="9512" max="9512" width="0.85546875" style="160" customWidth="1"/>
    <col min="9513" max="9513" width="14" style="160" customWidth="1"/>
    <col min="9514" max="9514" width="0.85546875" style="160" customWidth="1"/>
    <col min="9515" max="9515" width="10.85546875" style="160" customWidth="1"/>
    <col min="9516" max="9516" width="1.42578125" style="160" customWidth="1"/>
    <col min="9517" max="9517" width="10.85546875" style="160" customWidth="1"/>
    <col min="9518" max="9518" width="0.85546875" style="160" customWidth="1"/>
    <col min="9519" max="9519" width="16" style="160" customWidth="1"/>
    <col min="9520" max="9520" width="0.5703125" style="160" customWidth="1"/>
    <col min="9521" max="9521" width="9.42578125" style="160" bestFit="1" customWidth="1"/>
    <col min="9522" max="9522" width="1.140625" style="160" customWidth="1"/>
    <col min="9523" max="9753" width="9.140625" style="160"/>
    <col min="9754" max="9754" width="2.140625" style="160" customWidth="1"/>
    <col min="9755" max="9755" width="14" style="160" customWidth="1"/>
    <col min="9756" max="9756" width="0.7109375" style="160" customWidth="1"/>
    <col min="9757" max="9757" width="17.140625" style="160" customWidth="1"/>
    <col min="9758" max="9758" width="1.140625" style="160" customWidth="1"/>
    <col min="9759" max="9759" width="26.5703125" style="160" customWidth="1"/>
    <col min="9760" max="9760" width="1" style="160" customWidth="1"/>
    <col min="9761" max="9761" width="32.85546875" style="160" customWidth="1"/>
    <col min="9762" max="9762" width="1" style="160" customWidth="1"/>
    <col min="9763" max="9763" width="12.7109375" style="160" customWidth="1"/>
    <col min="9764" max="9764" width="1.28515625" style="160" customWidth="1"/>
    <col min="9765" max="9765" width="11.42578125" style="160" customWidth="1"/>
    <col min="9766" max="9766" width="1" style="160" customWidth="1"/>
    <col min="9767" max="9767" width="10.42578125" style="160" customWidth="1"/>
    <col min="9768" max="9768" width="0.85546875" style="160" customWidth="1"/>
    <col min="9769" max="9769" width="14" style="160" customWidth="1"/>
    <col min="9770" max="9770" width="0.85546875" style="160" customWidth="1"/>
    <col min="9771" max="9771" width="10.85546875" style="160" customWidth="1"/>
    <col min="9772" max="9772" width="1.42578125" style="160" customWidth="1"/>
    <col min="9773" max="9773" width="10.85546875" style="160" customWidth="1"/>
    <col min="9774" max="9774" width="0.85546875" style="160" customWidth="1"/>
    <col min="9775" max="9775" width="16" style="160" customWidth="1"/>
    <col min="9776" max="9776" width="0.5703125" style="160" customWidth="1"/>
    <col min="9777" max="9777" width="9.42578125" style="160" bestFit="1" customWidth="1"/>
    <col min="9778" max="9778" width="1.140625" style="160" customWidth="1"/>
    <col min="9779" max="10009" width="9.140625" style="160"/>
    <col min="10010" max="10010" width="2.140625" style="160" customWidth="1"/>
    <col min="10011" max="10011" width="14" style="160" customWidth="1"/>
    <col min="10012" max="10012" width="0.7109375" style="160" customWidth="1"/>
    <col min="10013" max="10013" width="17.140625" style="160" customWidth="1"/>
    <col min="10014" max="10014" width="1.140625" style="160" customWidth="1"/>
    <col min="10015" max="10015" width="26.5703125" style="160" customWidth="1"/>
    <col min="10016" max="10016" width="1" style="160" customWidth="1"/>
    <col min="10017" max="10017" width="32.85546875" style="160" customWidth="1"/>
    <col min="10018" max="10018" width="1" style="160" customWidth="1"/>
    <col min="10019" max="10019" width="12.7109375" style="160" customWidth="1"/>
    <col min="10020" max="10020" width="1.28515625" style="160" customWidth="1"/>
    <col min="10021" max="10021" width="11.42578125" style="160" customWidth="1"/>
    <col min="10022" max="10022" width="1" style="160" customWidth="1"/>
    <col min="10023" max="10023" width="10.42578125" style="160" customWidth="1"/>
    <col min="10024" max="10024" width="0.85546875" style="160" customWidth="1"/>
    <col min="10025" max="10025" width="14" style="160" customWidth="1"/>
    <col min="10026" max="10026" width="0.85546875" style="160" customWidth="1"/>
    <col min="10027" max="10027" width="10.85546875" style="160" customWidth="1"/>
    <col min="10028" max="10028" width="1.42578125" style="160" customWidth="1"/>
    <col min="10029" max="10029" width="10.85546875" style="160" customWidth="1"/>
    <col min="10030" max="10030" width="0.85546875" style="160" customWidth="1"/>
    <col min="10031" max="10031" width="16" style="160" customWidth="1"/>
    <col min="10032" max="10032" width="0.5703125" style="160" customWidth="1"/>
    <col min="10033" max="10033" width="9.42578125" style="160" bestFit="1" customWidth="1"/>
    <col min="10034" max="10034" width="1.140625" style="160" customWidth="1"/>
    <col min="10035" max="10265" width="9.140625" style="160"/>
    <col min="10266" max="10266" width="2.140625" style="160" customWidth="1"/>
    <col min="10267" max="10267" width="14" style="160" customWidth="1"/>
    <col min="10268" max="10268" width="0.7109375" style="160" customWidth="1"/>
    <col min="10269" max="10269" width="17.140625" style="160" customWidth="1"/>
    <col min="10270" max="10270" width="1.140625" style="160" customWidth="1"/>
    <col min="10271" max="10271" width="26.5703125" style="160" customWidth="1"/>
    <col min="10272" max="10272" width="1" style="160" customWidth="1"/>
    <col min="10273" max="10273" width="32.85546875" style="160" customWidth="1"/>
    <col min="10274" max="10274" width="1" style="160" customWidth="1"/>
    <col min="10275" max="10275" width="12.7109375" style="160" customWidth="1"/>
    <col min="10276" max="10276" width="1.28515625" style="160" customWidth="1"/>
    <col min="10277" max="10277" width="11.42578125" style="160" customWidth="1"/>
    <col min="10278" max="10278" width="1" style="160" customWidth="1"/>
    <col min="10279" max="10279" width="10.42578125" style="160" customWidth="1"/>
    <col min="10280" max="10280" width="0.85546875" style="160" customWidth="1"/>
    <col min="10281" max="10281" width="14" style="160" customWidth="1"/>
    <col min="10282" max="10282" width="0.85546875" style="160" customWidth="1"/>
    <col min="10283" max="10283" width="10.85546875" style="160" customWidth="1"/>
    <col min="10284" max="10284" width="1.42578125" style="160" customWidth="1"/>
    <col min="10285" max="10285" width="10.85546875" style="160" customWidth="1"/>
    <col min="10286" max="10286" width="0.85546875" style="160" customWidth="1"/>
    <col min="10287" max="10287" width="16" style="160" customWidth="1"/>
    <col min="10288" max="10288" width="0.5703125" style="160" customWidth="1"/>
    <col min="10289" max="10289" width="9.42578125" style="160" bestFit="1" customWidth="1"/>
    <col min="10290" max="10290" width="1.140625" style="160" customWidth="1"/>
    <col min="10291" max="10521" width="9.140625" style="160"/>
    <col min="10522" max="10522" width="2.140625" style="160" customWidth="1"/>
    <col min="10523" max="10523" width="14" style="160" customWidth="1"/>
    <col min="10524" max="10524" width="0.7109375" style="160" customWidth="1"/>
    <col min="10525" max="10525" width="17.140625" style="160" customWidth="1"/>
    <col min="10526" max="10526" width="1.140625" style="160" customWidth="1"/>
    <col min="10527" max="10527" width="26.5703125" style="160" customWidth="1"/>
    <col min="10528" max="10528" width="1" style="160" customWidth="1"/>
    <col min="10529" max="10529" width="32.85546875" style="160" customWidth="1"/>
    <col min="10530" max="10530" width="1" style="160" customWidth="1"/>
    <col min="10531" max="10531" width="12.7109375" style="160" customWidth="1"/>
    <col min="10532" max="10532" width="1.28515625" style="160" customWidth="1"/>
    <col min="10533" max="10533" width="11.42578125" style="160" customWidth="1"/>
    <col min="10534" max="10534" width="1" style="160" customWidth="1"/>
    <col min="10535" max="10535" width="10.42578125" style="160" customWidth="1"/>
    <col min="10536" max="10536" width="0.85546875" style="160" customWidth="1"/>
    <col min="10537" max="10537" width="14" style="160" customWidth="1"/>
    <col min="10538" max="10538" width="0.85546875" style="160" customWidth="1"/>
    <col min="10539" max="10539" width="10.85546875" style="160" customWidth="1"/>
    <col min="10540" max="10540" width="1.42578125" style="160" customWidth="1"/>
    <col min="10541" max="10541" width="10.85546875" style="160" customWidth="1"/>
    <col min="10542" max="10542" width="0.85546875" style="160" customWidth="1"/>
    <col min="10543" max="10543" width="16" style="160" customWidth="1"/>
    <col min="10544" max="10544" width="0.5703125" style="160" customWidth="1"/>
    <col min="10545" max="10545" width="9.42578125" style="160" bestFit="1" customWidth="1"/>
    <col min="10546" max="10546" width="1.140625" style="160" customWidth="1"/>
    <col min="10547" max="10777" width="9.140625" style="160"/>
    <col min="10778" max="10778" width="2.140625" style="160" customWidth="1"/>
    <col min="10779" max="10779" width="14" style="160" customWidth="1"/>
    <col min="10780" max="10780" width="0.7109375" style="160" customWidth="1"/>
    <col min="10781" max="10781" width="17.140625" style="160" customWidth="1"/>
    <col min="10782" max="10782" width="1.140625" style="160" customWidth="1"/>
    <col min="10783" max="10783" width="26.5703125" style="160" customWidth="1"/>
    <col min="10784" max="10784" width="1" style="160" customWidth="1"/>
    <col min="10785" max="10785" width="32.85546875" style="160" customWidth="1"/>
    <col min="10786" max="10786" width="1" style="160" customWidth="1"/>
    <col min="10787" max="10787" width="12.7109375" style="160" customWidth="1"/>
    <col min="10788" max="10788" width="1.28515625" style="160" customWidth="1"/>
    <col min="10789" max="10789" width="11.42578125" style="160" customWidth="1"/>
    <col min="10790" max="10790" width="1" style="160" customWidth="1"/>
    <col min="10791" max="10791" width="10.42578125" style="160" customWidth="1"/>
    <col min="10792" max="10792" width="0.85546875" style="160" customWidth="1"/>
    <col min="10793" max="10793" width="14" style="160" customWidth="1"/>
    <col min="10794" max="10794" width="0.85546875" style="160" customWidth="1"/>
    <col min="10795" max="10795" width="10.85546875" style="160" customWidth="1"/>
    <col min="10796" max="10796" width="1.42578125" style="160" customWidth="1"/>
    <col min="10797" max="10797" width="10.85546875" style="160" customWidth="1"/>
    <col min="10798" max="10798" width="0.85546875" style="160" customWidth="1"/>
    <col min="10799" max="10799" width="16" style="160" customWidth="1"/>
    <col min="10800" max="10800" width="0.5703125" style="160" customWidth="1"/>
    <col min="10801" max="10801" width="9.42578125" style="160" bestFit="1" customWidth="1"/>
    <col min="10802" max="10802" width="1.140625" style="160" customWidth="1"/>
    <col min="10803" max="11033" width="9.140625" style="160"/>
    <col min="11034" max="11034" width="2.140625" style="160" customWidth="1"/>
    <col min="11035" max="11035" width="14" style="160" customWidth="1"/>
    <col min="11036" max="11036" width="0.7109375" style="160" customWidth="1"/>
    <col min="11037" max="11037" width="17.140625" style="160" customWidth="1"/>
    <col min="11038" max="11038" width="1.140625" style="160" customWidth="1"/>
    <col min="11039" max="11039" width="26.5703125" style="160" customWidth="1"/>
    <col min="11040" max="11040" width="1" style="160" customWidth="1"/>
    <col min="11041" max="11041" width="32.85546875" style="160" customWidth="1"/>
    <col min="11042" max="11042" width="1" style="160" customWidth="1"/>
    <col min="11043" max="11043" width="12.7109375" style="160" customWidth="1"/>
    <col min="11044" max="11044" width="1.28515625" style="160" customWidth="1"/>
    <col min="11045" max="11045" width="11.42578125" style="160" customWidth="1"/>
    <col min="11046" max="11046" width="1" style="160" customWidth="1"/>
    <col min="11047" max="11047" width="10.42578125" style="160" customWidth="1"/>
    <col min="11048" max="11048" width="0.85546875" style="160" customWidth="1"/>
    <col min="11049" max="11049" width="14" style="160" customWidth="1"/>
    <col min="11050" max="11050" width="0.85546875" style="160" customWidth="1"/>
    <col min="11051" max="11051" width="10.85546875" style="160" customWidth="1"/>
    <col min="11052" max="11052" width="1.42578125" style="160" customWidth="1"/>
    <col min="11053" max="11053" width="10.85546875" style="160" customWidth="1"/>
    <col min="11054" max="11054" width="0.85546875" style="160" customWidth="1"/>
    <col min="11055" max="11055" width="16" style="160" customWidth="1"/>
    <col min="11056" max="11056" width="0.5703125" style="160" customWidth="1"/>
    <col min="11057" max="11057" width="9.42578125" style="160" bestFit="1" customWidth="1"/>
    <col min="11058" max="11058" width="1.140625" style="160" customWidth="1"/>
    <col min="11059" max="11289" width="9.140625" style="160"/>
    <col min="11290" max="11290" width="2.140625" style="160" customWidth="1"/>
    <col min="11291" max="11291" width="14" style="160" customWidth="1"/>
    <col min="11292" max="11292" width="0.7109375" style="160" customWidth="1"/>
    <col min="11293" max="11293" width="17.140625" style="160" customWidth="1"/>
    <col min="11294" max="11294" width="1.140625" style="160" customWidth="1"/>
    <col min="11295" max="11295" width="26.5703125" style="160" customWidth="1"/>
    <col min="11296" max="11296" width="1" style="160" customWidth="1"/>
    <col min="11297" max="11297" width="32.85546875" style="160" customWidth="1"/>
    <col min="11298" max="11298" width="1" style="160" customWidth="1"/>
    <col min="11299" max="11299" width="12.7109375" style="160" customWidth="1"/>
    <col min="11300" max="11300" width="1.28515625" style="160" customWidth="1"/>
    <col min="11301" max="11301" width="11.42578125" style="160" customWidth="1"/>
    <col min="11302" max="11302" width="1" style="160" customWidth="1"/>
    <col min="11303" max="11303" width="10.42578125" style="160" customWidth="1"/>
    <col min="11304" max="11304" width="0.85546875" style="160" customWidth="1"/>
    <col min="11305" max="11305" width="14" style="160" customWidth="1"/>
    <col min="11306" max="11306" width="0.85546875" style="160" customWidth="1"/>
    <col min="11307" max="11307" width="10.85546875" style="160" customWidth="1"/>
    <col min="11308" max="11308" width="1.42578125" style="160" customWidth="1"/>
    <col min="11309" max="11309" width="10.85546875" style="160" customWidth="1"/>
    <col min="11310" max="11310" width="0.85546875" style="160" customWidth="1"/>
    <col min="11311" max="11311" width="16" style="160" customWidth="1"/>
    <col min="11312" max="11312" width="0.5703125" style="160" customWidth="1"/>
    <col min="11313" max="11313" width="9.42578125" style="160" bestFit="1" customWidth="1"/>
    <col min="11314" max="11314" width="1.140625" style="160" customWidth="1"/>
    <col min="11315" max="11545" width="9.140625" style="160"/>
    <col min="11546" max="11546" width="2.140625" style="160" customWidth="1"/>
    <col min="11547" max="11547" width="14" style="160" customWidth="1"/>
    <col min="11548" max="11548" width="0.7109375" style="160" customWidth="1"/>
    <col min="11549" max="11549" width="17.140625" style="160" customWidth="1"/>
    <col min="11550" max="11550" width="1.140625" style="160" customWidth="1"/>
    <col min="11551" max="11551" width="26.5703125" style="160" customWidth="1"/>
    <col min="11552" max="11552" width="1" style="160" customWidth="1"/>
    <col min="11553" max="11553" width="32.85546875" style="160" customWidth="1"/>
    <col min="11554" max="11554" width="1" style="160" customWidth="1"/>
    <col min="11555" max="11555" width="12.7109375" style="160" customWidth="1"/>
    <col min="11556" max="11556" width="1.28515625" style="160" customWidth="1"/>
    <col min="11557" max="11557" width="11.42578125" style="160" customWidth="1"/>
    <col min="11558" max="11558" width="1" style="160" customWidth="1"/>
    <col min="11559" max="11559" width="10.42578125" style="160" customWidth="1"/>
    <col min="11560" max="11560" width="0.85546875" style="160" customWidth="1"/>
    <col min="11561" max="11561" width="14" style="160" customWidth="1"/>
    <col min="11562" max="11562" width="0.85546875" style="160" customWidth="1"/>
    <col min="11563" max="11563" width="10.85546875" style="160" customWidth="1"/>
    <col min="11564" max="11564" width="1.42578125" style="160" customWidth="1"/>
    <col min="11565" max="11565" width="10.85546875" style="160" customWidth="1"/>
    <col min="11566" max="11566" width="0.85546875" style="160" customWidth="1"/>
    <col min="11567" max="11567" width="16" style="160" customWidth="1"/>
    <col min="11568" max="11568" width="0.5703125" style="160" customWidth="1"/>
    <col min="11569" max="11569" width="9.42578125" style="160" bestFit="1" customWidth="1"/>
    <col min="11570" max="11570" width="1.140625" style="160" customWidth="1"/>
    <col min="11571" max="11801" width="9.140625" style="160"/>
    <col min="11802" max="11802" width="2.140625" style="160" customWidth="1"/>
    <col min="11803" max="11803" width="14" style="160" customWidth="1"/>
    <col min="11804" max="11804" width="0.7109375" style="160" customWidth="1"/>
    <col min="11805" max="11805" width="17.140625" style="160" customWidth="1"/>
    <col min="11806" max="11806" width="1.140625" style="160" customWidth="1"/>
    <col min="11807" max="11807" width="26.5703125" style="160" customWidth="1"/>
    <col min="11808" max="11808" width="1" style="160" customWidth="1"/>
    <col min="11809" max="11809" width="32.85546875" style="160" customWidth="1"/>
    <col min="11810" max="11810" width="1" style="160" customWidth="1"/>
    <col min="11811" max="11811" width="12.7109375" style="160" customWidth="1"/>
    <col min="11812" max="11812" width="1.28515625" style="160" customWidth="1"/>
    <col min="11813" max="11813" width="11.42578125" style="160" customWidth="1"/>
    <col min="11814" max="11814" width="1" style="160" customWidth="1"/>
    <col min="11815" max="11815" width="10.42578125" style="160" customWidth="1"/>
    <col min="11816" max="11816" width="0.85546875" style="160" customWidth="1"/>
    <col min="11817" max="11817" width="14" style="160" customWidth="1"/>
    <col min="11818" max="11818" width="0.85546875" style="160" customWidth="1"/>
    <col min="11819" max="11819" width="10.85546875" style="160" customWidth="1"/>
    <col min="11820" max="11820" width="1.42578125" style="160" customWidth="1"/>
    <col min="11821" max="11821" width="10.85546875" style="160" customWidth="1"/>
    <col min="11822" max="11822" width="0.85546875" style="160" customWidth="1"/>
    <col min="11823" max="11823" width="16" style="160" customWidth="1"/>
    <col min="11824" max="11824" width="0.5703125" style="160" customWidth="1"/>
    <col min="11825" max="11825" width="9.42578125" style="160" bestFit="1" customWidth="1"/>
    <col min="11826" max="11826" width="1.140625" style="160" customWidth="1"/>
    <col min="11827" max="12057" width="9.140625" style="160"/>
    <col min="12058" max="12058" width="2.140625" style="160" customWidth="1"/>
    <col min="12059" max="12059" width="14" style="160" customWidth="1"/>
    <col min="12060" max="12060" width="0.7109375" style="160" customWidth="1"/>
    <col min="12061" max="12061" width="17.140625" style="160" customWidth="1"/>
    <col min="12062" max="12062" width="1.140625" style="160" customWidth="1"/>
    <col min="12063" max="12063" width="26.5703125" style="160" customWidth="1"/>
    <col min="12064" max="12064" width="1" style="160" customWidth="1"/>
    <col min="12065" max="12065" width="32.85546875" style="160" customWidth="1"/>
    <col min="12066" max="12066" width="1" style="160" customWidth="1"/>
    <col min="12067" max="12067" width="12.7109375" style="160" customWidth="1"/>
    <col min="12068" max="12068" width="1.28515625" style="160" customWidth="1"/>
    <col min="12069" max="12069" width="11.42578125" style="160" customWidth="1"/>
    <col min="12070" max="12070" width="1" style="160" customWidth="1"/>
    <col min="12071" max="12071" width="10.42578125" style="160" customWidth="1"/>
    <col min="12072" max="12072" width="0.85546875" style="160" customWidth="1"/>
    <col min="12073" max="12073" width="14" style="160" customWidth="1"/>
    <col min="12074" max="12074" width="0.85546875" style="160" customWidth="1"/>
    <col min="12075" max="12075" width="10.85546875" style="160" customWidth="1"/>
    <col min="12076" max="12076" width="1.42578125" style="160" customWidth="1"/>
    <col min="12077" max="12077" width="10.85546875" style="160" customWidth="1"/>
    <col min="12078" max="12078" width="0.85546875" style="160" customWidth="1"/>
    <col min="12079" max="12079" width="16" style="160" customWidth="1"/>
    <col min="12080" max="12080" width="0.5703125" style="160" customWidth="1"/>
    <col min="12081" max="12081" width="9.42578125" style="160" bestFit="1" customWidth="1"/>
    <col min="12082" max="12082" width="1.140625" style="160" customWidth="1"/>
    <col min="12083" max="12313" width="9.140625" style="160"/>
    <col min="12314" max="12314" width="2.140625" style="160" customWidth="1"/>
    <col min="12315" max="12315" width="14" style="160" customWidth="1"/>
    <col min="12316" max="12316" width="0.7109375" style="160" customWidth="1"/>
    <col min="12317" max="12317" width="17.140625" style="160" customWidth="1"/>
    <col min="12318" max="12318" width="1.140625" style="160" customWidth="1"/>
    <col min="12319" max="12319" width="26.5703125" style="160" customWidth="1"/>
    <col min="12320" max="12320" width="1" style="160" customWidth="1"/>
    <col min="12321" max="12321" width="32.85546875" style="160" customWidth="1"/>
    <col min="12322" max="12322" width="1" style="160" customWidth="1"/>
    <col min="12323" max="12323" width="12.7109375" style="160" customWidth="1"/>
    <col min="12324" max="12324" width="1.28515625" style="160" customWidth="1"/>
    <col min="12325" max="12325" width="11.42578125" style="160" customWidth="1"/>
    <col min="12326" max="12326" width="1" style="160" customWidth="1"/>
    <col min="12327" max="12327" width="10.42578125" style="160" customWidth="1"/>
    <col min="12328" max="12328" width="0.85546875" style="160" customWidth="1"/>
    <col min="12329" max="12329" width="14" style="160" customWidth="1"/>
    <col min="12330" max="12330" width="0.85546875" style="160" customWidth="1"/>
    <col min="12331" max="12331" width="10.85546875" style="160" customWidth="1"/>
    <col min="12332" max="12332" width="1.42578125" style="160" customWidth="1"/>
    <col min="12333" max="12333" width="10.85546875" style="160" customWidth="1"/>
    <col min="12334" max="12334" width="0.85546875" style="160" customWidth="1"/>
    <col min="12335" max="12335" width="16" style="160" customWidth="1"/>
    <col min="12336" max="12336" width="0.5703125" style="160" customWidth="1"/>
    <col min="12337" max="12337" width="9.42578125" style="160" bestFit="1" customWidth="1"/>
    <col min="12338" max="12338" width="1.140625" style="160" customWidth="1"/>
    <col min="12339" max="12569" width="9.140625" style="160"/>
    <col min="12570" max="12570" width="2.140625" style="160" customWidth="1"/>
    <col min="12571" max="12571" width="14" style="160" customWidth="1"/>
    <col min="12572" max="12572" width="0.7109375" style="160" customWidth="1"/>
    <col min="12573" max="12573" width="17.140625" style="160" customWidth="1"/>
    <col min="12574" max="12574" width="1.140625" style="160" customWidth="1"/>
    <col min="12575" max="12575" width="26.5703125" style="160" customWidth="1"/>
    <col min="12576" max="12576" width="1" style="160" customWidth="1"/>
    <col min="12577" max="12577" width="32.85546875" style="160" customWidth="1"/>
    <col min="12578" max="12578" width="1" style="160" customWidth="1"/>
    <col min="12579" max="12579" width="12.7109375" style="160" customWidth="1"/>
    <col min="12580" max="12580" width="1.28515625" style="160" customWidth="1"/>
    <col min="12581" max="12581" width="11.42578125" style="160" customWidth="1"/>
    <col min="12582" max="12582" width="1" style="160" customWidth="1"/>
    <col min="12583" max="12583" width="10.42578125" style="160" customWidth="1"/>
    <col min="12584" max="12584" width="0.85546875" style="160" customWidth="1"/>
    <col min="12585" max="12585" width="14" style="160" customWidth="1"/>
    <col min="12586" max="12586" width="0.85546875" style="160" customWidth="1"/>
    <col min="12587" max="12587" width="10.85546875" style="160" customWidth="1"/>
    <col min="12588" max="12588" width="1.42578125" style="160" customWidth="1"/>
    <col min="12589" max="12589" width="10.85546875" style="160" customWidth="1"/>
    <col min="12590" max="12590" width="0.85546875" style="160" customWidth="1"/>
    <col min="12591" max="12591" width="16" style="160" customWidth="1"/>
    <col min="12592" max="12592" width="0.5703125" style="160" customWidth="1"/>
    <col min="12593" max="12593" width="9.42578125" style="160" bestFit="1" customWidth="1"/>
    <col min="12594" max="12594" width="1.140625" style="160" customWidth="1"/>
    <col min="12595" max="12825" width="9.140625" style="160"/>
    <col min="12826" max="12826" width="2.140625" style="160" customWidth="1"/>
    <col min="12827" max="12827" width="14" style="160" customWidth="1"/>
    <col min="12828" max="12828" width="0.7109375" style="160" customWidth="1"/>
    <col min="12829" max="12829" width="17.140625" style="160" customWidth="1"/>
    <col min="12830" max="12830" width="1.140625" style="160" customWidth="1"/>
    <col min="12831" max="12831" width="26.5703125" style="160" customWidth="1"/>
    <col min="12832" max="12832" width="1" style="160" customWidth="1"/>
    <col min="12833" max="12833" width="32.85546875" style="160" customWidth="1"/>
    <col min="12834" max="12834" width="1" style="160" customWidth="1"/>
    <col min="12835" max="12835" width="12.7109375" style="160" customWidth="1"/>
    <col min="12836" max="12836" width="1.28515625" style="160" customWidth="1"/>
    <col min="12837" max="12837" width="11.42578125" style="160" customWidth="1"/>
    <col min="12838" max="12838" width="1" style="160" customWidth="1"/>
    <col min="12839" max="12839" width="10.42578125" style="160" customWidth="1"/>
    <col min="12840" max="12840" width="0.85546875" style="160" customWidth="1"/>
    <col min="12841" max="12841" width="14" style="160" customWidth="1"/>
    <col min="12842" max="12842" width="0.85546875" style="160" customWidth="1"/>
    <col min="12843" max="12843" width="10.85546875" style="160" customWidth="1"/>
    <col min="12844" max="12844" width="1.42578125" style="160" customWidth="1"/>
    <col min="12845" max="12845" width="10.85546875" style="160" customWidth="1"/>
    <col min="12846" max="12846" width="0.85546875" style="160" customWidth="1"/>
    <col min="12847" max="12847" width="16" style="160" customWidth="1"/>
    <col min="12848" max="12848" width="0.5703125" style="160" customWidth="1"/>
    <col min="12849" max="12849" width="9.42578125" style="160" bestFit="1" customWidth="1"/>
    <col min="12850" max="12850" width="1.140625" style="160" customWidth="1"/>
    <col min="12851" max="13081" width="9.140625" style="160"/>
    <col min="13082" max="13082" width="2.140625" style="160" customWidth="1"/>
    <col min="13083" max="13083" width="14" style="160" customWidth="1"/>
    <col min="13084" max="13084" width="0.7109375" style="160" customWidth="1"/>
    <col min="13085" max="13085" width="17.140625" style="160" customWidth="1"/>
    <col min="13086" max="13086" width="1.140625" style="160" customWidth="1"/>
    <col min="13087" max="13087" width="26.5703125" style="160" customWidth="1"/>
    <col min="13088" max="13088" width="1" style="160" customWidth="1"/>
    <col min="13089" max="13089" width="32.85546875" style="160" customWidth="1"/>
    <col min="13090" max="13090" width="1" style="160" customWidth="1"/>
    <col min="13091" max="13091" width="12.7109375" style="160" customWidth="1"/>
    <col min="13092" max="13092" width="1.28515625" style="160" customWidth="1"/>
    <col min="13093" max="13093" width="11.42578125" style="160" customWidth="1"/>
    <col min="13094" max="13094" width="1" style="160" customWidth="1"/>
    <col min="13095" max="13095" width="10.42578125" style="160" customWidth="1"/>
    <col min="13096" max="13096" width="0.85546875" style="160" customWidth="1"/>
    <col min="13097" max="13097" width="14" style="160" customWidth="1"/>
    <col min="13098" max="13098" width="0.85546875" style="160" customWidth="1"/>
    <col min="13099" max="13099" width="10.85546875" style="160" customWidth="1"/>
    <col min="13100" max="13100" width="1.42578125" style="160" customWidth="1"/>
    <col min="13101" max="13101" width="10.85546875" style="160" customWidth="1"/>
    <col min="13102" max="13102" width="0.85546875" style="160" customWidth="1"/>
    <col min="13103" max="13103" width="16" style="160" customWidth="1"/>
    <col min="13104" max="13104" width="0.5703125" style="160" customWidth="1"/>
    <col min="13105" max="13105" width="9.42578125" style="160" bestFit="1" customWidth="1"/>
    <col min="13106" max="13106" width="1.140625" style="160" customWidth="1"/>
    <col min="13107" max="13337" width="9.140625" style="160"/>
    <col min="13338" max="13338" width="2.140625" style="160" customWidth="1"/>
    <col min="13339" max="13339" width="14" style="160" customWidth="1"/>
    <col min="13340" max="13340" width="0.7109375" style="160" customWidth="1"/>
    <col min="13341" max="13341" width="17.140625" style="160" customWidth="1"/>
    <col min="13342" max="13342" width="1.140625" style="160" customWidth="1"/>
    <col min="13343" max="13343" width="26.5703125" style="160" customWidth="1"/>
    <col min="13344" max="13344" width="1" style="160" customWidth="1"/>
    <col min="13345" max="13345" width="32.85546875" style="160" customWidth="1"/>
    <col min="13346" max="13346" width="1" style="160" customWidth="1"/>
    <col min="13347" max="13347" width="12.7109375" style="160" customWidth="1"/>
    <col min="13348" max="13348" width="1.28515625" style="160" customWidth="1"/>
    <col min="13349" max="13349" width="11.42578125" style="160" customWidth="1"/>
    <col min="13350" max="13350" width="1" style="160" customWidth="1"/>
    <col min="13351" max="13351" width="10.42578125" style="160" customWidth="1"/>
    <col min="13352" max="13352" width="0.85546875" style="160" customWidth="1"/>
    <col min="13353" max="13353" width="14" style="160" customWidth="1"/>
    <col min="13354" max="13354" width="0.85546875" style="160" customWidth="1"/>
    <col min="13355" max="13355" width="10.85546875" style="160" customWidth="1"/>
    <col min="13356" max="13356" width="1.42578125" style="160" customWidth="1"/>
    <col min="13357" max="13357" width="10.85546875" style="160" customWidth="1"/>
    <col min="13358" max="13358" width="0.85546875" style="160" customWidth="1"/>
    <col min="13359" max="13359" width="16" style="160" customWidth="1"/>
    <col min="13360" max="13360" width="0.5703125" style="160" customWidth="1"/>
    <col min="13361" max="13361" width="9.42578125" style="160" bestFit="1" customWidth="1"/>
    <col min="13362" max="13362" width="1.140625" style="160" customWidth="1"/>
    <col min="13363" max="13593" width="9.140625" style="160"/>
    <col min="13594" max="13594" width="2.140625" style="160" customWidth="1"/>
    <col min="13595" max="13595" width="14" style="160" customWidth="1"/>
    <col min="13596" max="13596" width="0.7109375" style="160" customWidth="1"/>
    <col min="13597" max="13597" width="17.140625" style="160" customWidth="1"/>
    <col min="13598" max="13598" width="1.140625" style="160" customWidth="1"/>
    <col min="13599" max="13599" width="26.5703125" style="160" customWidth="1"/>
    <col min="13600" max="13600" width="1" style="160" customWidth="1"/>
    <col min="13601" max="13601" width="32.85546875" style="160" customWidth="1"/>
    <col min="13602" max="13602" width="1" style="160" customWidth="1"/>
    <col min="13603" max="13603" width="12.7109375" style="160" customWidth="1"/>
    <col min="13604" max="13604" width="1.28515625" style="160" customWidth="1"/>
    <col min="13605" max="13605" width="11.42578125" style="160" customWidth="1"/>
    <col min="13606" max="13606" width="1" style="160" customWidth="1"/>
    <col min="13607" max="13607" width="10.42578125" style="160" customWidth="1"/>
    <col min="13608" max="13608" width="0.85546875" style="160" customWidth="1"/>
    <col min="13609" max="13609" width="14" style="160" customWidth="1"/>
    <col min="13610" max="13610" width="0.85546875" style="160" customWidth="1"/>
    <col min="13611" max="13611" width="10.85546875" style="160" customWidth="1"/>
    <col min="13612" max="13612" width="1.42578125" style="160" customWidth="1"/>
    <col min="13613" max="13613" width="10.85546875" style="160" customWidth="1"/>
    <col min="13614" max="13614" width="0.85546875" style="160" customWidth="1"/>
    <col min="13615" max="13615" width="16" style="160" customWidth="1"/>
    <col min="13616" max="13616" width="0.5703125" style="160" customWidth="1"/>
    <col min="13617" max="13617" width="9.42578125" style="160" bestFit="1" customWidth="1"/>
    <col min="13618" max="13618" width="1.140625" style="160" customWidth="1"/>
    <col min="13619" max="13849" width="9.140625" style="160"/>
    <col min="13850" max="13850" width="2.140625" style="160" customWidth="1"/>
    <col min="13851" max="13851" width="14" style="160" customWidth="1"/>
    <col min="13852" max="13852" width="0.7109375" style="160" customWidth="1"/>
    <col min="13853" max="13853" width="17.140625" style="160" customWidth="1"/>
    <col min="13854" max="13854" width="1.140625" style="160" customWidth="1"/>
    <col min="13855" max="13855" width="26.5703125" style="160" customWidth="1"/>
    <col min="13856" max="13856" width="1" style="160" customWidth="1"/>
    <col min="13857" max="13857" width="32.85546875" style="160" customWidth="1"/>
    <col min="13858" max="13858" width="1" style="160" customWidth="1"/>
    <col min="13859" max="13859" width="12.7109375" style="160" customWidth="1"/>
    <col min="13860" max="13860" width="1.28515625" style="160" customWidth="1"/>
    <col min="13861" max="13861" width="11.42578125" style="160" customWidth="1"/>
    <col min="13862" max="13862" width="1" style="160" customWidth="1"/>
    <col min="13863" max="13863" width="10.42578125" style="160" customWidth="1"/>
    <col min="13864" max="13864" width="0.85546875" style="160" customWidth="1"/>
    <col min="13865" max="13865" width="14" style="160" customWidth="1"/>
    <col min="13866" max="13866" width="0.85546875" style="160" customWidth="1"/>
    <col min="13867" max="13867" width="10.85546875" style="160" customWidth="1"/>
    <col min="13868" max="13868" width="1.42578125" style="160" customWidth="1"/>
    <col min="13869" max="13869" width="10.85546875" style="160" customWidth="1"/>
    <col min="13870" max="13870" width="0.85546875" style="160" customWidth="1"/>
    <col min="13871" max="13871" width="16" style="160" customWidth="1"/>
    <col min="13872" max="13872" width="0.5703125" style="160" customWidth="1"/>
    <col min="13873" max="13873" width="9.42578125" style="160" bestFit="1" customWidth="1"/>
    <col min="13874" max="13874" width="1.140625" style="160" customWidth="1"/>
    <col min="13875" max="14105" width="9.140625" style="160"/>
    <col min="14106" max="14106" width="2.140625" style="160" customWidth="1"/>
    <col min="14107" max="14107" width="14" style="160" customWidth="1"/>
    <col min="14108" max="14108" width="0.7109375" style="160" customWidth="1"/>
    <col min="14109" max="14109" width="17.140625" style="160" customWidth="1"/>
    <col min="14110" max="14110" width="1.140625" style="160" customWidth="1"/>
    <col min="14111" max="14111" width="26.5703125" style="160" customWidth="1"/>
    <col min="14112" max="14112" width="1" style="160" customWidth="1"/>
    <col min="14113" max="14113" width="32.85546875" style="160" customWidth="1"/>
    <col min="14114" max="14114" width="1" style="160" customWidth="1"/>
    <col min="14115" max="14115" width="12.7109375" style="160" customWidth="1"/>
    <col min="14116" max="14116" width="1.28515625" style="160" customWidth="1"/>
    <col min="14117" max="14117" width="11.42578125" style="160" customWidth="1"/>
    <col min="14118" max="14118" width="1" style="160" customWidth="1"/>
    <col min="14119" max="14119" width="10.42578125" style="160" customWidth="1"/>
    <col min="14120" max="14120" width="0.85546875" style="160" customWidth="1"/>
    <col min="14121" max="14121" width="14" style="160" customWidth="1"/>
    <col min="14122" max="14122" width="0.85546875" style="160" customWidth="1"/>
    <col min="14123" max="14123" width="10.85546875" style="160" customWidth="1"/>
    <col min="14124" max="14124" width="1.42578125" style="160" customWidth="1"/>
    <col min="14125" max="14125" width="10.85546875" style="160" customWidth="1"/>
    <col min="14126" max="14126" width="0.85546875" style="160" customWidth="1"/>
    <col min="14127" max="14127" width="16" style="160" customWidth="1"/>
    <col min="14128" max="14128" width="0.5703125" style="160" customWidth="1"/>
    <col min="14129" max="14129" width="9.42578125" style="160" bestFit="1" customWidth="1"/>
    <col min="14130" max="14130" width="1.140625" style="160" customWidth="1"/>
    <col min="14131" max="14361" width="9.140625" style="160"/>
    <col min="14362" max="14362" width="2.140625" style="160" customWidth="1"/>
    <col min="14363" max="14363" width="14" style="160" customWidth="1"/>
    <col min="14364" max="14364" width="0.7109375" style="160" customWidth="1"/>
    <col min="14365" max="14365" width="17.140625" style="160" customWidth="1"/>
    <col min="14366" max="14366" width="1.140625" style="160" customWidth="1"/>
    <col min="14367" max="14367" width="26.5703125" style="160" customWidth="1"/>
    <col min="14368" max="14368" width="1" style="160" customWidth="1"/>
    <col min="14369" max="14369" width="32.85546875" style="160" customWidth="1"/>
    <col min="14370" max="14370" width="1" style="160" customWidth="1"/>
    <col min="14371" max="14371" width="12.7109375" style="160" customWidth="1"/>
    <col min="14372" max="14372" width="1.28515625" style="160" customWidth="1"/>
    <col min="14373" max="14373" width="11.42578125" style="160" customWidth="1"/>
    <col min="14374" max="14374" width="1" style="160" customWidth="1"/>
    <col min="14375" max="14375" width="10.42578125" style="160" customWidth="1"/>
    <col min="14376" max="14376" width="0.85546875" style="160" customWidth="1"/>
    <col min="14377" max="14377" width="14" style="160" customWidth="1"/>
    <col min="14378" max="14378" width="0.85546875" style="160" customWidth="1"/>
    <col min="14379" max="14379" width="10.85546875" style="160" customWidth="1"/>
    <col min="14380" max="14380" width="1.42578125" style="160" customWidth="1"/>
    <col min="14381" max="14381" width="10.85546875" style="160" customWidth="1"/>
    <col min="14382" max="14382" width="0.85546875" style="160" customWidth="1"/>
    <col min="14383" max="14383" width="16" style="160" customWidth="1"/>
    <col min="14384" max="14384" width="0.5703125" style="160" customWidth="1"/>
    <col min="14385" max="14385" width="9.42578125" style="160" bestFit="1" customWidth="1"/>
    <col min="14386" max="14386" width="1.140625" style="160" customWidth="1"/>
    <col min="14387" max="14617" width="9.140625" style="160"/>
    <col min="14618" max="14618" width="2.140625" style="160" customWidth="1"/>
    <col min="14619" max="14619" width="14" style="160" customWidth="1"/>
    <col min="14620" max="14620" width="0.7109375" style="160" customWidth="1"/>
    <col min="14621" max="14621" width="17.140625" style="160" customWidth="1"/>
    <col min="14622" max="14622" width="1.140625" style="160" customWidth="1"/>
    <col min="14623" max="14623" width="26.5703125" style="160" customWidth="1"/>
    <col min="14624" max="14624" width="1" style="160" customWidth="1"/>
    <col min="14625" max="14625" width="32.85546875" style="160" customWidth="1"/>
    <col min="14626" max="14626" width="1" style="160" customWidth="1"/>
    <col min="14627" max="14627" width="12.7109375" style="160" customWidth="1"/>
    <col min="14628" max="14628" width="1.28515625" style="160" customWidth="1"/>
    <col min="14629" max="14629" width="11.42578125" style="160" customWidth="1"/>
    <col min="14630" max="14630" width="1" style="160" customWidth="1"/>
    <col min="14631" max="14631" width="10.42578125" style="160" customWidth="1"/>
    <col min="14632" max="14632" width="0.85546875" style="160" customWidth="1"/>
    <col min="14633" max="14633" width="14" style="160" customWidth="1"/>
    <col min="14634" max="14634" width="0.85546875" style="160" customWidth="1"/>
    <col min="14635" max="14635" width="10.85546875" style="160" customWidth="1"/>
    <col min="14636" max="14636" width="1.42578125" style="160" customWidth="1"/>
    <col min="14637" max="14637" width="10.85546875" style="160" customWidth="1"/>
    <col min="14638" max="14638" width="0.85546875" style="160" customWidth="1"/>
    <col min="14639" max="14639" width="16" style="160" customWidth="1"/>
    <col min="14640" max="14640" width="0.5703125" style="160" customWidth="1"/>
    <col min="14641" max="14641" width="9.42578125" style="160" bestFit="1" customWidth="1"/>
    <col min="14642" max="14642" width="1.140625" style="160" customWidth="1"/>
    <col min="14643" max="14873" width="9.140625" style="160"/>
    <col min="14874" max="14874" width="2.140625" style="160" customWidth="1"/>
    <col min="14875" max="14875" width="14" style="160" customWidth="1"/>
    <col min="14876" max="14876" width="0.7109375" style="160" customWidth="1"/>
    <col min="14877" max="14877" width="17.140625" style="160" customWidth="1"/>
    <col min="14878" max="14878" width="1.140625" style="160" customWidth="1"/>
    <col min="14879" max="14879" width="26.5703125" style="160" customWidth="1"/>
    <col min="14880" max="14880" width="1" style="160" customWidth="1"/>
    <col min="14881" max="14881" width="32.85546875" style="160" customWidth="1"/>
    <col min="14882" max="14882" width="1" style="160" customWidth="1"/>
    <col min="14883" max="14883" width="12.7109375" style="160" customWidth="1"/>
    <col min="14884" max="14884" width="1.28515625" style="160" customWidth="1"/>
    <col min="14885" max="14885" width="11.42578125" style="160" customWidth="1"/>
    <col min="14886" max="14886" width="1" style="160" customWidth="1"/>
    <col min="14887" max="14887" width="10.42578125" style="160" customWidth="1"/>
    <col min="14888" max="14888" width="0.85546875" style="160" customWidth="1"/>
    <col min="14889" max="14889" width="14" style="160" customWidth="1"/>
    <col min="14890" max="14890" width="0.85546875" style="160" customWidth="1"/>
    <col min="14891" max="14891" width="10.85546875" style="160" customWidth="1"/>
    <col min="14892" max="14892" width="1.42578125" style="160" customWidth="1"/>
    <col min="14893" max="14893" width="10.85546875" style="160" customWidth="1"/>
    <col min="14894" max="14894" width="0.85546875" style="160" customWidth="1"/>
    <col min="14895" max="14895" width="16" style="160" customWidth="1"/>
    <col min="14896" max="14896" width="0.5703125" style="160" customWidth="1"/>
    <col min="14897" max="14897" width="9.42578125" style="160" bestFit="1" customWidth="1"/>
    <col min="14898" max="14898" width="1.140625" style="160" customWidth="1"/>
    <col min="14899" max="15129" width="9.140625" style="160"/>
    <col min="15130" max="15130" width="2.140625" style="160" customWidth="1"/>
    <col min="15131" max="15131" width="14" style="160" customWidth="1"/>
    <col min="15132" max="15132" width="0.7109375" style="160" customWidth="1"/>
    <col min="15133" max="15133" width="17.140625" style="160" customWidth="1"/>
    <col min="15134" max="15134" width="1.140625" style="160" customWidth="1"/>
    <col min="15135" max="15135" width="26.5703125" style="160" customWidth="1"/>
    <col min="15136" max="15136" width="1" style="160" customWidth="1"/>
    <col min="15137" max="15137" width="32.85546875" style="160" customWidth="1"/>
    <col min="15138" max="15138" width="1" style="160" customWidth="1"/>
    <col min="15139" max="15139" width="12.7109375" style="160" customWidth="1"/>
    <col min="15140" max="15140" width="1.28515625" style="160" customWidth="1"/>
    <col min="15141" max="15141" width="11.42578125" style="160" customWidth="1"/>
    <col min="15142" max="15142" width="1" style="160" customWidth="1"/>
    <col min="15143" max="15143" width="10.42578125" style="160" customWidth="1"/>
    <col min="15144" max="15144" width="0.85546875" style="160" customWidth="1"/>
    <col min="15145" max="15145" width="14" style="160" customWidth="1"/>
    <col min="15146" max="15146" width="0.85546875" style="160" customWidth="1"/>
    <col min="15147" max="15147" width="10.85546875" style="160" customWidth="1"/>
    <col min="15148" max="15148" width="1.42578125" style="160" customWidth="1"/>
    <col min="15149" max="15149" width="10.85546875" style="160" customWidth="1"/>
    <col min="15150" max="15150" width="0.85546875" style="160" customWidth="1"/>
    <col min="15151" max="15151" width="16" style="160" customWidth="1"/>
    <col min="15152" max="15152" width="0.5703125" style="160" customWidth="1"/>
    <col min="15153" max="15153" width="9.42578125" style="160" bestFit="1" customWidth="1"/>
    <col min="15154" max="15154" width="1.140625" style="160" customWidth="1"/>
    <col min="15155" max="15385" width="9.140625" style="160"/>
    <col min="15386" max="15386" width="2.140625" style="160" customWidth="1"/>
    <col min="15387" max="15387" width="14" style="160" customWidth="1"/>
    <col min="15388" max="15388" width="0.7109375" style="160" customWidth="1"/>
    <col min="15389" max="15389" width="17.140625" style="160" customWidth="1"/>
    <col min="15390" max="15390" width="1.140625" style="160" customWidth="1"/>
    <col min="15391" max="15391" width="26.5703125" style="160" customWidth="1"/>
    <col min="15392" max="15392" width="1" style="160" customWidth="1"/>
    <col min="15393" max="15393" width="32.85546875" style="160" customWidth="1"/>
    <col min="15394" max="15394" width="1" style="160" customWidth="1"/>
    <col min="15395" max="15395" width="12.7109375" style="160" customWidth="1"/>
    <col min="15396" max="15396" width="1.28515625" style="160" customWidth="1"/>
    <col min="15397" max="15397" width="11.42578125" style="160" customWidth="1"/>
    <col min="15398" max="15398" width="1" style="160" customWidth="1"/>
    <col min="15399" max="15399" width="10.42578125" style="160" customWidth="1"/>
    <col min="15400" max="15400" width="0.85546875" style="160" customWidth="1"/>
    <col min="15401" max="15401" width="14" style="160" customWidth="1"/>
    <col min="15402" max="15402" width="0.85546875" style="160" customWidth="1"/>
    <col min="15403" max="15403" width="10.85546875" style="160" customWidth="1"/>
    <col min="15404" max="15404" width="1.42578125" style="160" customWidth="1"/>
    <col min="15405" max="15405" width="10.85546875" style="160" customWidth="1"/>
    <col min="15406" max="15406" width="0.85546875" style="160" customWidth="1"/>
    <col min="15407" max="15407" width="16" style="160" customWidth="1"/>
    <col min="15408" max="15408" width="0.5703125" style="160" customWidth="1"/>
    <col min="15409" max="15409" width="9.42578125" style="160" bestFit="1" customWidth="1"/>
    <col min="15410" max="15410" width="1.140625" style="160" customWidth="1"/>
    <col min="15411" max="15641" width="9.140625" style="160"/>
    <col min="15642" max="15642" width="2.140625" style="160" customWidth="1"/>
    <col min="15643" max="15643" width="14" style="160" customWidth="1"/>
    <col min="15644" max="15644" width="0.7109375" style="160" customWidth="1"/>
    <col min="15645" max="15645" width="17.140625" style="160" customWidth="1"/>
    <col min="15646" max="15646" width="1.140625" style="160" customWidth="1"/>
    <col min="15647" max="15647" width="26.5703125" style="160" customWidth="1"/>
    <col min="15648" max="15648" width="1" style="160" customWidth="1"/>
    <col min="15649" max="15649" width="32.85546875" style="160" customWidth="1"/>
    <col min="15650" max="15650" width="1" style="160" customWidth="1"/>
    <col min="15651" max="15651" width="12.7109375" style="160" customWidth="1"/>
    <col min="15652" max="15652" width="1.28515625" style="160" customWidth="1"/>
    <col min="15653" max="15653" width="11.42578125" style="160" customWidth="1"/>
    <col min="15654" max="15654" width="1" style="160" customWidth="1"/>
    <col min="15655" max="15655" width="10.42578125" style="160" customWidth="1"/>
    <col min="15656" max="15656" width="0.85546875" style="160" customWidth="1"/>
    <col min="15657" max="15657" width="14" style="160" customWidth="1"/>
    <col min="15658" max="15658" width="0.85546875" style="160" customWidth="1"/>
    <col min="15659" max="15659" width="10.85546875" style="160" customWidth="1"/>
    <col min="15660" max="15660" width="1.42578125" style="160" customWidth="1"/>
    <col min="15661" max="15661" width="10.85546875" style="160" customWidth="1"/>
    <col min="15662" max="15662" width="0.85546875" style="160" customWidth="1"/>
    <col min="15663" max="15663" width="16" style="160" customWidth="1"/>
    <col min="15664" max="15664" width="0.5703125" style="160" customWidth="1"/>
    <col min="15665" max="15665" width="9.42578125" style="160" bestFit="1" customWidth="1"/>
    <col min="15666" max="15666" width="1.140625" style="160" customWidth="1"/>
    <col min="15667" max="15897" width="9.140625" style="160"/>
    <col min="15898" max="15898" width="2.140625" style="160" customWidth="1"/>
    <col min="15899" max="15899" width="14" style="160" customWidth="1"/>
    <col min="15900" max="15900" width="0.7109375" style="160" customWidth="1"/>
    <col min="15901" max="15901" width="17.140625" style="160" customWidth="1"/>
    <col min="15902" max="15902" width="1.140625" style="160" customWidth="1"/>
    <col min="15903" max="15903" width="26.5703125" style="160" customWidth="1"/>
    <col min="15904" max="15904" width="1" style="160" customWidth="1"/>
    <col min="15905" max="15905" width="32.85546875" style="160" customWidth="1"/>
    <col min="15906" max="15906" width="1" style="160" customWidth="1"/>
    <col min="15907" max="15907" width="12.7109375" style="160" customWidth="1"/>
    <col min="15908" max="15908" width="1.28515625" style="160" customWidth="1"/>
    <col min="15909" max="15909" width="11.42578125" style="160" customWidth="1"/>
    <col min="15910" max="15910" width="1" style="160" customWidth="1"/>
    <col min="15911" max="15911" width="10.42578125" style="160" customWidth="1"/>
    <col min="15912" max="15912" width="0.85546875" style="160" customWidth="1"/>
    <col min="15913" max="15913" width="14" style="160" customWidth="1"/>
    <col min="15914" max="15914" width="0.85546875" style="160" customWidth="1"/>
    <col min="15915" max="15915" width="10.85546875" style="160" customWidth="1"/>
    <col min="15916" max="15916" width="1.42578125" style="160" customWidth="1"/>
    <col min="15917" max="15917" width="10.85546875" style="160" customWidth="1"/>
    <col min="15918" max="15918" width="0.85546875" style="160" customWidth="1"/>
    <col min="15919" max="15919" width="16" style="160" customWidth="1"/>
    <col min="15920" max="15920" width="0.5703125" style="160" customWidth="1"/>
    <col min="15921" max="15921" width="9.42578125" style="160" bestFit="1" customWidth="1"/>
    <col min="15922" max="15922" width="1.140625" style="160" customWidth="1"/>
    <col min="15923" max="16153" width="9.140625" style="160"/>
    <col min="16154" max="16154" width="2.140625" style="160" customWidth="1"/>
    <col min="16155" max="16155" width="14" style="160" customWidth="1"/>
    <col min="16156" max="16156" width="0.7109375" style="160" customWidth="1"/>
    <col min="16157" max="16157" width="17.140625" style="160" customWidth="1"/>
    <col min="16158" max="16158" width="1.140625" style="160" customWidth="1"/>
    <col min="16159" max="16159" width="26.5703125" style="160" customWidth="1"/>
    <col min="16160" max="16160" width="1" style="160" customWidth="1"/>
    <col min="16161" max="16161" width="32.85546875" style="160" customWidth="1"/>
    <col min="16162" max="16162" width="1" style="160" customWidth="1"/>
    <col min="16163" max="16163" width="12.7109375" style="160" customWidth="1"/>
    <col min="16164" max="16164" width="1.28515625" style="160" customWidth="1"/>
    <col min="16165" max="16165" width="11.42578125" style="160" customWidth="1"/>
    <col min="16166" max="16166" width="1" style="160" customWidth="1"/>
    <col min="16167" max="16167" width="10.42578125" style="160" customWidth="1"/>
    <col min="16168" max="16168" width="0.85546875" style="160" customWidth="1"/>
    <col min="16169" max="16169" width="14" style="160" customWidth="1"/>
    <col min="16170" max="16170" width="0.85546875" style="160" customWidth="1"/>
    <col min="16171" max="16171" width="10.85546875" style="160" customWidth="1"/>
    <col min="16172" max="16172" width="1.42578125" style="160" customWidth="1"/>
    <col min="16173" max="16173" width="10.85546875" style="160" customWidth="1"/>
    <col min="16174" max="16174" width="0.85546875" style="160" customWidth="1"/>
    <col min="16175" max="16175" width="16" style="160" customWidth="1"/>
    <col min="16176" max="16176" width="0.5703125" style="160" customWidth="1"/>
    <col min="16177" max="16177" width="9.42578125" style="160" bestFit="1" customWidth="1"/>
    <col min="16178" max="16178" width="1.140625" style="160" customWidth="1"/>
    <col min="16179" max="16384" width="9.140625" style="160"/>
  </cols>
  <sheetData>
    <row r="1" spans="1:71" s="63" customFormat="1" ht="51" x14ac:dyDescent="0.2">
      <c r="A1" s="273" t="s">
        <v>9</v>
      </c>
      <c r="B1" s="272"/>
      <c r="C1" s="274" t="s">
        <v>39</v>
      </c>
      <c r="D1" s="272"/>
      <c r="E1" s="274" t="s">
        <v>0</v>
      </c>
      <c r="F1" s="272"/>
      <c r="G1" s="274" t="s">
        <v>1</v>
      </c>
      <c r="H1" s="272"/>
      <c r="I1" s="276" t="s">
        <v>4</v>
      </c>
      <c r="J1" s="272"/>
      <c r="K1" s="274" t="s">
        <v>2</v>
      </c>
      <c r="L1" s="272"/>
      <c r="M1" s="274" t="s">
        <v>7</v>
      </c>
      <c r="N1" s="272"/>
      <c r="O1" s="186" t="s">
        <v>8</v>
      </c>
      <c r="P1" s="289" t="s">
        <v>23</v>
      </c>
      <c r="Q1" s="187" t="s">
        <v>5</v>
      </c>
      <c r="R1" s="186"/>
      <c r="S1" s="188" t="s">
        <v>6</v>
      </c>
      <c r="T1" s="186"/>
      <c r="U1" s="187" t="s">
        <v>560</v>
      </c>
      <c r="V1" s="186"/>
      <c r="W1" s="188" t="s">
        <v>561</v>
      </c>
      <c r="X1" s="186"/>
      <c r="Y1" s="187" t="s">
        <v>676</v>
      </c>
      <c r="Z1" s="186"/>
      <c r="AA1" s="188" t="s">
        <v>677</v>
      </c>
      <c r="AB1" s="186"/>
      <c r="AC1" s="187" t="s">
        <v>678</v>
      </c>
      <c r="AD1" s="186"/>
      <c r="AE1" s="188" t="s">
        <v>679</v>
      </c>
      <c r="AF1" s="187" t="s">
        <v>680</v>
      </c>
      <c r="AG1" s="186"/>
      <c r="AH1" s="188" t="s">
        <v>681</v>
      </c>
      <c r="AI1" s="189"/>
      <c r="AJ1" s="189"/>
      <c r="AK1" s="189" t="s">
        <v>24</v>
      </c>
      <c r="AL1" s="189"/>
      <c r="AM1" s="278" t="s">
        <v>3</v>
      </c>
      <c r="AN1" s="346"/>
      <c r="AO1" s="280" t="s">
        <v>773</v>
      </c>
      <c r="AP1" s="272"/>
      <c r="AQ1" s="188" t="s">
        <v>774</v>
      </c>
      <c r="AR1" s="277" t="s">
        <v>775</v>
      </c>
      <c r="AS1" s="272"/>
      <c r="AT1" s="359" t="s">
        <v>776</v>
      </c>
      <c r="AU1" s="358"/>
      <c r="AV1" s="386" t="s">
        <v>871</v>
      </c>
      <c r="AW1" s="359" t="s">
        <v>872</v>
      </c>
      <c r="AX1" s="62"/>
      <c r="AY1" s="392" t="s">
        <v>873</v>
      </c>
      <c r="AZ1" s="188" t="s">
        <v>874</v>
      </c>
      <c r="BA1" s="358"/>
      <c r="BB1" s="386" t="s">
        <v>908</v>
      </c>
      <c r="BC1" s="359" t="s">
        <v>909</v>
      </c>
      <c r="BD1" s="62"/>
      <c r="BE1" s="392" t="s">
        <v>910</v>
      </c>
      <c r="BF1" s="188" t="s">
        <v>911</v>
      </c>
      <c r="BG1" s="358" t="s">
        <v>912</v>
      </c>
      <c r="BH1" s="358" t="s">
        <v>913</v>
      </c>
      <c r="BI1" s="358" t="s">
        <v>914</v>
      </c>
      <c r="BJ1" s="358" t="s">
        <v>915</v>
      </c>
      <c r="BK1" s="347" t="s">
        <v>781</v>
      </c>
      <c r="BL1" s="346"/>
      <c r="BM1" s="346"/>
      <c r="BN1" s="346"/>
      <c r="BO1" s="346"/>
      <c r="BP1" s="346"/>
      <c r="BQ1" s="346"/>
      <c r="BR1" s="346"/>
      <c r="BS1" s="346"/>
    </row>
    <row r="2" spans="1:71" ht="55.15" customHeight="1" x14ac:dyDescent="0.2">
      <c r="A2" s="394" t="s">
        <v>10</v>
      </c>
      <c r="C2" s="395" t="s">
        <v>356</v>
      </c>
      <c r="E2" s="396" t="s">
        <v>357</v>
      </c>
      <c r="F2" s="397"/>
      <c r="G2" s="396" t="s">
        <v>358</v>
      </c>
      <c r="H2" s="397"/>
      <c r="I2" s="395" t="s">
        <v>359</v>
      </c>
      <c r="J2" s="398"/>
      <c r="K2" s="395" t="s">
        <v>255</v>
      </c>
      <c r="L2" s="398"/>
      <c r="M2" s="395" t="s">
        <v>55</v>
      </c>
      <c r="N2" s="398"/>
      <c r="O2" s="177">
        <v>2007</v>
      </c>
      <c r="P2" s="399" t="s">
        <v>361</v>
      </c>
      <c r="Q2" s="178" t="s">
        <v>360</v>
      </c>
      <c r="R2" s="178"/>
      <c r="S2" s="179">
        <v>1548318</v>
      </c>
      <c r="T2" s="178"/>
      <c r="U2" s="177" t="s">
        <v>360</v>
      </c>
      <c r="V2" s="178"/>
      <c r="W2" s="179">
        <v>1654792</v>
      </c>
      <c r="X2" s="178"/>
      <c r="Y2" s="177" t="s">
        <v>360</v>
      </c>
      <c r="Z2" s="178"/>
      <c r="AA2" s="179">
        <v>1672377</v>
      </c>
      <c r="AB2" s="178"/>
      <c r="AC2" s="177" t="s">
        <v>360</v>
      </c>
      <c r="AD2" s="178"/>
      <c r="AE2" s="179">
        <v>1962389</v>
      </c>
      <c r="AF2" s="177" t="s">
        <v>360</v>
      </c>
      <c r="AG2" s="178"/>
      <c r="AH2" s="179">
        <v>1907978</v>
      </c>
      <c r="AK2" s="160" t="s">
        <v>362</v>
      </c>
      <c r="AO2" s="122" t="s">
        <v>360</v>
      </c>
      <c r="AP2" s="398"/>
      <c r="AQ2" s="179">
        <v>1787473.56</v>
      </c>
      <c r="AR2" s="395" t="s">
        <v>360</v>
      </c>
      <c r="AS2" s="398"/>
      <c r="AT2" s="400">
        <v>1789894.53</v>
      </c>
      <c r="AU2" s="401"/>
      <c r="AV2" s="122" t="s">
        <v>360</v>
      </c>
      <c r="AW2" s="400">
        <v>1845640</v>
      </c>
      <c r="AX2" s="401"/>
      <c r="AY2" s="122" t="s">
        <v>360</v>
      </c>
      <c r="AZ2" s="179">
        <v>1890705</v>
      </c>
      <c r="BA2" s="401"/>
      <c r="BB2" s="122" t="s">
        <v>360</v>
      </c>
      <c r="BC2" s="400">
        <v>1853957.52</v>
      </c>
      <c r="BD2" s="401"/>
      <c r="BE2" s="122" t="s">
        <v>360</v>
      </c>
      <c r="BF2" s="179">
        <v>1774458.6</v>
      </c>
      <c r="BG2" s="428" t="s">
        <v>360</v>
      </c>
      <c r="BH2" s="428">
        <v>1949153</v>
      </c>
      <c r="BI2" s="428" t="s">
        <v>360</v>
      </c>
      <c r="BJ2" s="428">
        <v>1838889</v>
      </c>
      <c r="BK2" s="402" t="s">
        <v>797</v>
      </c>
    </row>
    <row r="3" spans="1:71" ht="55.15" customHeight="1" x14ac:dyDescent="0.2">
      <c r="A3" s="403" t="s">
        <v>10</v>
      </c>
      <c r="B3" s="404"/>
      <c r="C3" s="395" t="s">
        <v>356</v>
      </c>
      <c r="D3" s="404"/>
      <c r="E3" s="396" t="s">
        <v>363</v>
      </c>
      <c r="F3" s="397"/>
      <c r="G3" s="396" t="s">
        <v>364</v>
      </c>
      <c r="H3" s="397"/>
      <c r="I3" s="405">
        <v>50</v>
      </c>
      <c r="J3" s="398"/>
      <c r="K3" s="395" t="s">
        <v>365</v>
      </c>
      <c r="L3" s="398"/>
      <c r="M3" s="395" t="s">
        <v>55</v>
      </c>
      <c r="N3" s="398"/>
      <c r="O3" s="177">
        <v>2010</v>
      </c>
      <c r="P3" s="399" t="s">
        <v>366</v>
      </c>
      <c r="Q3" s="178" t="s">
        <v>360</v>
      </c>
      <c r="R3" s="178"/>
      <c r="S3" s="179">
        <v>45950</v>
      </c>
      <c r="T3" s="177"/>
      <c r="U3" s="177" t="s">
        <v>360</v>
      </c>
      <c r="V3" s="178"/>
      <c r="W3" s="179">
        <v>674906</v>
      </c>
      <c r="X3" s="178"/>
      <c r="Y3" s="177" t="s">
        <v>360</v>
      </c>
      <c r="Z3" s="178"/>
      <c r="AA3" s="179">
        <v>145342</v>
      </c>
      <c r="AB3" s="177"/>
      <c r="AC3" s="177" t="s">
        <v>360</v>
      </c>
      <c r="AD3" s="178"/>
      <c r="AE3" s="179">
        <v>99293</v>
      </c>
      <c r="AF3" s="177" t="s">
        <v>360</v>
      </c>
      <c r="AG3" s="178"/>
      <c r="AH3" s="179">
        <v>195898</v>
      </c>
      <c r="AK3" s="160" t="s">
        <v>367</v>
      </c>
      <c r="AM3" s="160" t="s">
        <v>627</v>
      </c>
      <c r="AO3" s="122" t="s">
        <v>360</v>
      </c>
      <c r="AP3" s="398"/>
      <c r="AQ3" s="179">
        <v>269313</v>
      </c>
      <c r="AR3" s="395" t="s">
        <v>360</v>
      </c>
      <c r="AS3" s="398"/>
      <c r="AT3" s="400">
        <v>311525</v>
      </c>
      <c r="AU3" s="401"/>
      <c r="AV3" s="122" t="s">
        <v>360</v>
      </c>
      <c r="AW3" s="400">
        <v>692583</v>
      </c>
      <c r="AX3" s="401"/>
      <c r="AY3" s="122" t="s">
        <v>360</v>
      </c>
      <c r="AZ3" s="179">
        <v>575698</v>
      </c>
      <c r="BA3" s="401"/>
      <c r="BB3" s="122" t="s">
        <v>360</v>
      </c>
      <c r="BC3" s="400">
        <v>391925</v>
      </c>
      <c r="BD3" s="401"/>
      <c r="BE3" s="122" t="s">
        <v>360</v>
      </c>
      <c r="BF3" s="179">
        <v>411880</v>
      </c>
      <c r="BG3" s="428" t="s">
        <v>360</v>
      </c>
      <c r="BH3" s="428">
        <v>771450</v>
      </c>
      <c r="BI3" s="428" t="s">
        <v>360</v>
      </c>
      <c r="BJ3" s="428">
        <v>349850</v>
      </c>
      <c r="BK3" s="402" t="s">
        <v>782</v>
      </c>
    </row>
    <row r="4" spans="1:71" ht="55.15" customHeight="1" x14ac:dyDescent="0.2">
      <c r="A4" s="403" t="s">
        <v>10</v>
      </c>
      <c r="C4" s="395" t="s">
        <v>356</v>
      </c>
      <c r="E4" s="396" t="s">
        <v>369</v>
      </c>
      <c r="F4" s="397"/>
      <c r="G4" s="396" t="s">
        <v>364</v>
      </c>
      <c r="H4" s="397"/>
      <c r="I4" s="405">
        <v>25</v>
      </c>
      <c r="J4" s="398"/>
      <c r="K4" s="395" t="s">
        <v>365</v>
      </c>
      <c r="L4" s="398"/>
      <c r="M4" s="395" t="s">
        <v>55</v>
      </c>
      <c r="N4" s="398"/>
      <c r="O4" s="177">
        <v>2010</v>
      </c>
      <c r="P4" s="399" t="s">
        <v>366</v>
      </c>
      <c r="Q4" s="178" t="s">
        <v>360</v>
      </c>
      <c r="R4" s="178"/>
      <c r="S4" s="179" t="s">
        <v>370</v>
      </c>
      <c r="T4" s="177"/>
      <c r="U4" s="177" t="s">
        <v>360</v>
      </c>
      <c r="V4" s="178"/>
      <c r="W4" s="179" t="s">
        <v>628</v>
      </c>
      <c r="X4" s="178"/>
      <c r="Y4" s="177" t="s">
        <v>360</v>
      </c>
      <c r="Z4" s="178"/>
      <c r="AA4" s="179" t="s">
        <v>370</v>
      </c>
      <c r="AB4" s="177"/>
      <c r="AC4" s="177" t="s">
        <v>360</v>
      </c>
      <c r="AD4" s="178"/>
      <c r="AE4" s="179" t="s">
        <v>370</v>
      </c>
      <c r="AF4" s="177" t="s">
        <v>360</v>
      </c>
      <c r="AG4" s="178"/>
      <c r="AH4" s="179" t="s">
        <v>370</v>
      </c>
      <c r="AK4" s="160" t="s">
        <v>367</v>
      </c>
      <c r="AM4" s="160" t="s">
        <v>368</v>
      </c>
      <c r="AO4" s="122" t="s">
        <v>360</v>
      </c>
      <c r="AP4" s="398"/>
      <c r="AQ4" s="179" t="s">
        <v>370</v>
      </c>
      <c r="AR4" s="395" t="s">
        <v>360</v>
      </c>
      <c r="AS4" s="398"/>
      <c r="AT4" s="400" t="s">
        <v>370</v>
      </c>
      <c r="AU4" s="401"/>
      <c r="AV4" s="122" t="s">
        <v>360</v>
      </c>
      <c r="AW4" s="400" t="s">
        <v>370</v>
      </c>
      <c r="AX4" s="401"/>
      <c r="AY4" s="122" t="s">
        <v>360</v>
      </c>
      <c r="AZ4" s="179" t="s">
        <v>370</v>
      </c>
      <c r="BA4" s="401"/>
      <c r="BB4" s="122" t="s">
        <v>360</v>
      </c>
      <c r="BC4" s="400" t="s">
        <v>370</v>
      </c>
      <c r="BD4" s="401"/>
      <c r="BE4" s="122" t="s">
        <v>360</v>
      </c>
      <c r="BF4" s="179" t="s">
        <v>370</v>
      </c>
      <c r="BG4" s="428" t="s">
        <v>360</v>
      </c>
      <c r="BH4" s="428" t="s">
        <v>370</v>
      </c>
      <c r="BI4" s="428" t="s">
        <v>360</v>
      </c>
      <c r="BJ4" s="428" t="s">
        <v>370</v>
      </c>
      <c r="BK4" s="402" t="s">
        <v>782</v>
      </c>
    </row>
    <row r="5" spans="1:71" ht="55.15" customHeight="1" x14ac:dyDescent="0.2">
      <c r="A5" s="403" t="s">
        <v>10</v>
      </c>
      <c r="B5" s="404"/>
      <c r="C5" s="395" t="s">
        <v>356</v>
      </c>
      <c r="D5" s="404"/>
      <c r="E5" s="396" t="s">
        <v>371</v>
      </c>
      <c r="F5" s="397"/>
      <c r="G5" s="396" t="s">
        <v>364</v>
      </c>
      <c r="H5" s="397"/>
      <c r="I5" s="405">
        <v>50</v>
      </c>
      <c r="J5" s="398"/>
      <c r="K5" s="395" t="s">
        <v>365</v>
      </c>
      <c r="L5" s="398"/>
      <c r="M5" s="395" t="s">
        <v>55</v>
      </c>
      <c r="N5" s="398"/>
      <c r="O5" s="177">
        <v>2010</v>
      </c>
      <c r="P5" s="399" t="s">
        <v>366</v>
      </c>
      <c r="Q5" s="178" t="s">
        <v>360</v>
      </c>
      <c r="R5" s="178"/>
      <c r="S5" s="179" t="s">
        <v>370</v>
      </c>
      <c r="T5" s="177"/>
      <c r="U5" s="177" t="s">
        <v>360</v>
      </c>
      <c r="V5" s="178"/>
      <c r="W5" s="179" t="s">
        <v>628</v>
      </c>
      <c r="X5" s="178"/>
      <c r="Y5" s="177" t="s">
        <v>360</v>
      </c>
      <c r="Z5" s="178"/>
      <c r="AA5" s="179" t="s">
        <v>370</v>
      </c>
      <c r="AB5" s="177"/>
      <c r="AC5" s="177" t="s">
        <v>360</v>
      </c>
      <c r="AD5" s="178"/>
      <c r="AE5" s="179" t="s">
        <v>370</v>
      </c>
      <c r="AF5" s="177" t="s">
        <v>360</v>
      </c>
      <c r="AG5" s="178"/>
      <c r="AH5" s="179" t="s">
        <v>370</v>
      </c>
      <c r="AK5" s="160" t="s">
        <v>367</v>
      </c>
      <c r="AM5" s="160" t="s">
        <v>372</v>
      </c>
      <c r="AO5" s="122" t="s">
        <v>360</v>
      </c>
      <c r="AP5" s="398"/>
      <c r="AQ5" s="179" t="s">
        <v>370</v>
      </c>
      <c r="AR5" s="395" t="s">
        <v>360</v>
      </c>
      <c r="AS5" s="398"/>
      <c r="AT5" s="400" t="s">
        <v>370</v>
      </c>
      <c r="AU5" s="401"/>
      <c r="AV5" s="122" t="s">
        <v>360</v>
      </c>
      <c r="AW5" s="400" t="s">
        <v>370</v>
      </c>
      <c r="AX5" s="401"/>
      <c r="AY5" s="122" t="s">
        <v>360</v>
      </c>
      <c r="AZ5" s="179" t="s">
        <v>370</v>
      </c>
      <c r="BA5" s="401"/>
      <c r="BB5" s="122" t="s">
        <v>360</v>
      </c>
      <c r="BC5" s="400" t="s">
        <v>370</v>
      </c>
      <c r="BD5" s="401"/>
      <c r="BE5" s="122" t="s">
        <v>360</v>
      </c>
      <c r="BF5" s="179" t="s">
        <v>370</v>
      </c>
      <c r="BG5" s="428" t="s">
        <v>360</v>
      </c>
      <c r="BH5" s="428" t="s">
        <v>370</v>
      </c>
      <c r="BI5" s="428" t="s">
        <v>360</v>
      </c>
      <c r="BJ5" s="428" t="s">
        <v>370</v>
      </c>
      <c r="BK5" s="402" t="s">
        <v>782</v>
      </c>
    </row>
    <row r="6" spans="1:71" ht="55.15" customHeight="1" x14ac:dyDescent="0.2">
      <c r="A6" s="403" t="s">
        <v>10</v>
      </c>
      <c r="C6" s="395" t="s">
        <v>356</v>
      </c>
      <c r="E6" s="396" t="s">
        <v>373</v>
      </c>
      <c r="F6" s="397"/>
      <c r="G6" s="396" t="s">
        <v>364</v>
      </c>
      <c r="H6" s="397"/>
      <c r="I6" s="405">
        <v>25</v>
      </c>
      <c r="J6" s="398"/>
      <c r="K6" s="395" t="s">
        <v>365</v>
      </c>
      <c r="L6" s="398"/>
      <c r="M6" s="395" t="s">
        <v>55</v>
      </c>
      <c r="N6" s="398"/>
      <c r="O6" s="177">
        <v>2010</v>
      </c>
      <c r="P6" s="399" t="s">
        <v>366</v>
      </c>
      <c r="Q6" s="178" t="s">
        <v>360</v>
      </c>
      <c r="R6" s="178"/>
      <c r="S6" s="179" t="s">
        <v>370</v>
      </c>
      <c r="T6" s="177"/>
      <c r="U6" s="177" t="s">
        <v>360</v>
      </c>
      <c r="V6" s="178"/>
      <c r="W6" s="179" t="s">
        <v>628</v>
      </c>
      <c r="X6" s="178"/>
      <c r="Y6" s="177" t="s">
        <v>360</v>
      </c>
      <c r="Z6" s="178"/>
      <c r="AA6" s="179" t="s">
        <v>370</v>
      </c>
      <c r="AB6" s="177"/>
      <c r="AC6" s="177" t="s">
        <v>360</v>
      </c>
      <c r="AD6" s="178"/>
      <c r="AE6" s="179" t="s">
        <v>370</v>
      </c>
      <c r="AF6" s="177" t="s">
        <v>360</v>
      </c>
      <c r="AG6" s="178"/>
      <c r="AH6" s="179" t="s">
        <v>370</v>
      </c>
      <c r="AK6" s="160" t="s">
        <v>367</v>
      </c>
      <c r="AM6" s="160" t="s">
        <v>372</v>
      </c>
      <c r="AO6" s="122" t="s">
        <v>360</v>
      </c>
      <c r="AP6" s="398"/>
      <c r="AQ6" s="179" t="s">
        <v>370</v>
      </c>
      <c r="AR6" s="395" t="s">
        <v>360</v>
      </c>
      <c r="AS6" s="398"/>
      <c r="AT6" s="400" t="s">
        <v>370</v>
      </c>
      <c r="AU6" s="401"/>
      <c r="AV6" s="122" t="s">
        <v>360</v>
      </c>
      <c r="AW6" s="400" t="s">
        <v>370</v>
      </c>
      <c r="AX6" s="401"/>
      <c r="AY6" s="122" t="s">
        <v>360</v>
      </c>
      <c r="AZ6" s="179" t="s">
        <v>370</v>
      </c>
      <c r="BA6" s="401"/>
      <c r="BB6" s="122" t="s">
        <v>360</v>
      </c>
      <c r="BC6" s="400" t="s">
        <v>370</v>
      </c>
      <c r="BD6" s="401"/>
      <c r="BE6" s="122" t="s">
        <v>360</v>
      </c>
      <c r="BF6" s="179" t="s">
        <v>370</v>
      </c>
      <c r="BG6" s="428" t="s">
        <v>360</v>
      </c>
      <c r="BH6" s="428" t="s">
        <v>370</v>
      </c>
      <c r="BI6" s="428" t="s">
        <v>360</v>
      </c>
      <c r="BJ6" s="428" t="s">
        <v>370</v>
      </c>
      <c r="BK6" s="402" t="s">
        <v>782</v>
      </c>
    </row>
    <row r="7" spans="1:71" ht="55.15" customHeight="1" x14ac:dyDescent="0.2">
      <c r="A7" s="403" t="s">
        <v>10</v>
      </c>
      <c r="B7" s="404"/>
      <c r="C7" s="395" t="s">
        <v>356</v>
      </c>
      <c r="D7" s="404"/>
      <c r="E7" s="396" t="s">
        <v>374</v>
      </c>
      <c r="F7" s="397"/>
      <c r="G7" s="396" t="s">
        <v>375</v>
      </c>
      <c r="H7" s="397"/>
      <c r="I7" s="405">
        <v>100</v>
      </c>
      <c r="J7" s="398"/>
      <c r="K7" s="395" t="s">
        <v>719</v>
      </c>
      <c r="L7" s="398"/>
      <c r="M7" s="395" t="s">
        <v>55</v>
      </c>
      <c r="N7" s="398"/>
      <c r="O7" s="177">
        <v>1984</v>
      </c>
      <c r="P7" s="399" t="s">
        <v>376</v>
      </c>
      <c r="Q7" s="178" t="s">
        <v>360</v>
      </c>
      <c r="R7" s="178"/>
      <c r="S7" s="179">
        <v>115995</v>
      </c>
      <c r="T7" s="177"/>
      <c r="U7" s="177" t="s">
        <v>360</v>
      </c>
      <c r="V7" s="178"/>
      <c r="W7" s="179">
        <v>157320</v>
      </c>
      <c r="X7" s="178"/>
      <c r="Y7" s="177" t="s">
        <v>360</v>
      </c>
      <c r="Z7" s="178"/>
      <c r="AA7" s="179">
        <v>113635</v>
      </c>
      <c r="AB7" s="177"/>
      <c r="AC7" s="177" t="s">
        <v>360</v>
      </c>
      <c r="AD7" s="178"/>
      <c r="AE7" s="179">
        <v>117545</v>
      </c>
      <c r="AF7" s="177" t="s">
        <v>360</v>
      </c>
      <c r="AG7" s="178"/>
      <c r="AH7" s="179">
        <v>119565</v>
      </c>
      <c r="AK7" s="160" t="s">
        <v>367</v>
      </c>
      <c r="AO7" s="122" t="s">
        <v>360</v>
      </c>
      <c r="AP7" s="398"/>
      <c r="AQ7" s="179">
        <v>136500</v>
      </c>
      <c r="AR7" s="395" t="s">
        <v>360</v>
      </c>
      <c r="AS7" s="398"/>
      <c r="AT7" s="400">
        <v>140935</v>
      </c>
      <c r="AU7" s="401"/>
      <c r="AV7" s="122" t="s">
        <v>360</v>
      </c>
      <c r="AW7" s="400">
        <v>184425</v>
      </c>
      <c r="AX7" s="401"/>
      <c r="AY7" s="122" t="s">
        <v>360</v>
      </c>
      <c r="AZ7" s="179">
        <v>151730</v>
      </c>
      <c r="BA7" s="401"/>
      <c r="BB7" s="122" t="s">
        <v>360</v>
      </c>
      <c r="BC7" s="400">
        <v>165108.15</v>
      </c>
      <c r="BD7" s="401"/>
      <c r="BE7" s="122" t="s">
        <v>360</v>
      </c>
      <c r="BF7" s="179">
        <v>166355</v>
      </c>
      <c r="BG7" s="428" t="s">
        <v>360</v>
      </c>
      <c r="BH7" s="428">
        <v>164270</v>
      </c>
      <c r="BI7" s="428" t="s">
        <v>360</v>
      </c>
      <c r="BJ7" s="428">
        <v>172518.06</v>
      </c>
      <c r="BK7" s="402" t="s">
        <v>782</v>
      </c>
    </row>
    <row r="8" spans="1:71" ht="55.15" customHeight="1" x14ac:dyDescent="0.2">
      <c r="A8" s="403" t="s">
        <v>10</v>
      </c>
      <c r="C8" s="395" t="s">
        <v>356</v>
      </c>
      <c r="E8" s="396" t="s">
        <v>377</v>
      </c>
      <c r="F8" s="397"/>
      <c r="G8" s="396" t="s">
        <v>378</v>
      </c>
      <c r="H8" s="397"/>
      <c r="I8" s="405">
        <v>10</v>
      </c>
      <c r="J8" s="398"/>
      <c r="K8" s="395" t="s">
        <v>379</v>
      </c>
      <c r="L8" s="398"/>
      <c r="M8" s="395" t="s">
        <v>55</v>
      </c>
      <c r="N8" s="398"/>
      <c r="O8" s="177">
        <v>1989</v>
      </c>
      <c r="P8" s="399" t="s">
        <v>380</v>
      </c>
      <c r="Q8" s="178" t="s">
        <v>360</v>
      </c>
      <c r="R8" s="178"/>
      <c r="S8" s="179" t="s">
        <v>370</v>
      </c>
      <c r="T8" s="177"/>
      <c r="U8" s="177" t="s">
        <v>360</v>
      </c>
      <c r="V8" s="178"/>
      <c r="W8" s="179" t="s">
        <v>628</v>
      </c>
      <c r="X8" s="178"/>
      <c r="Y8" s="177" t="s">
        <v>360</v>
      </c>
      <c r="Z8" s="178"/>
      <c r="AA8" s="179" t="s">
        <v>370</v>
      </c>
      <c r="AB8" s="177"/>
      <c r="AC8" s="177" t="s">
        <v>360</v>
      </c>
      <c r="AD8" s="178"/>
      <c r="AE8" s="179" t="s">
        <v>370</v>
      </c>
      <c r="AF8" s="177" t="s">
        <v>360</v>
      </c>
      <c r="AG8" s="178"/>
      <c r="AH8" s="179" t="s">
        <v>370</v>
      </c>
      <c r="AK8" s="160" t="s">
        <v>367</v>
      </c>
      <c r="AO8" s="122" t="s">
        <v>360</v>
      </c>
      <c r="AP8" s="398"/>
      <c r="AQ8" s="179" t="s">
        <v>370</v>
      </c>
      <c r="AR8" s="395" t="s">
        <v>360</v>
      </c>
      <c r="AS8" s="398"/>
      <c r="AT8" s="400" t="s">
        <v>370</v>
      </c>
      <c r="AU8" s="401"/>
      <c r="AV8" s="122" t="s">
        <v>360</v>
      </c>
      <c r="AW8" s="400" t="s">
        <v>370</v>
      </c>
      <c r="AX8" s="401"/>
      <c r="AY8" s="122" t="s">
        <v>360</v>
      </c>
      <c r="AZ8" s="179" t="s">
        <v>370</v>
      </c>
      <c r="BA8" s="401"/>
      <c r="BB8" s="122" t="s">
        <v>360</v>
      </c>
      <c r="BC8" s="400" t="s">
        <v>370</v>
      </c>
      <c r="BD8" s="401"/>
      <c r="BE8" s="122" t="s">
        <v>360</v>
      </c>
      <c r="BF8" s="179" t="s">
        <v>370</v>
      </c>
      <c r="BG8" s="428" t="s">
        <v>360</v>
      </c>
      <c r="BH8" s="428" t="s">
        <v>370</v>
      </c>
      <c r="BI8" s="428" t="s">
        <v>360</v>
      </c>
      <c r="BJ8" s="428" t="s">
        <v>370</v>
      </c>
      <c r="BK8" s="402" t="s">
        <v>782</v>
      </c>
    </row>
    <row r="9" spans="1:71" ht="55.15" customHeight="1" x14ac:dyDescent="0.2">
      <c r="A9" s="403" t="s">
        <v>10</v>
      </c>
      <c r="B9" s="404"/>
      <c r="C9" s="395" t="s">
        <v>356</v>
      </c>
      <c r="D9" s="404"/>
      <c r="E9" s="396" t="s">
        <v>381</v>
      </c>
      <c r="F9" s="397"/>
      <c r="G9" s="396" t="s">
        <v>375</v>
      </c>
      <c r="H9" s="397"/>
      <c r="I9" s="405">
        <v>100</v>
      </c>
      <c r="J9" s="398"/>
      <c r="K9" s="395" t="s">
        <v>382</v>
      </c>
      <c r="L9" s="398"/>
      <c r="M9" s="395" t="s">
        <v>55</v>
      </c>
      <c r="N9" s="398"/>
      <c r="O9" s="177" t="s">
        <v>383</v>
      </c>
      <c r="P9" s="399" t="s">
        <v>384</v>
      </c>
      <c r="Q9" s="178" t="s">
        <v>360</v>
      </c>
      <c r="R9" s="178"/>
      <c r="S9" s="179" t="s">
        <v>370</v>
      </c>
      <c r="T9" s="177"/>
      <c r="U9" s="177" t="s">
        <v>360</v>
      </c>
      <c r="V9" s="178"/>
      <c r="W9" s="179" t="s">
        <v>628</v>
      </c>
      <c r="X9" s="178"/>
      <c r="Y9" s="177" t="s">
        <v>360</v>
      </c>
      <c r="Z9" s="178"/>
      <c r="AA9" s="179" t="s">
        <v>370</v>
      </c>
      <c r="AB9" s="177"/>
      <c r="AC9" s="177" t="s">
        <v>360</v>
      </c>
      <c r="AD9" s="178"/>
      <c r="AE9" s="179" t="s">
        <v>370</v>
      </c>
      <c r="AF9" s="177" t="s">
        <v>360</v>
      </c>
      <c r="AG9" s="178"/>
      <c r="AH9" s="179" t="s">
        <v>370</v>
      </c>
      <c r="AK9" s="160" t="s">
        <v>367</v>
      </c>
      <c r="AO9" s="122" t="s">
        <v>360</v>
      </c>
      <c r="AP9" s="398"/>
      <c r="AQ9" s="179" t="s">
        <v>370</v>
      </c>
      <c r="AR9" s="395" t="s">
        <v>360</v>
      </c>
      <c r="AS9" s="398"/>
      <c r="AT9" s="400" t="s">
        <v>370</v>
      </c>
      <c r="AU9" s="401"/>
      <c r="AV9" s="122" t="s">
        <v>360</v>
      </c>
      <c r="AW9" s="400" t="s">
        <v>370</v>
      </c>
      <c r="AX9" s="401"/>
      <c r="AY9" s="122" t="s">
        <v>360</v>
      </c>
      <c r="AZ9" s="179" t="s">
        <v>370</v>
      </c>
      <c r="BA9" s="401"/>
      <c r="BB9" s="122" t="s">
        <v>360</v>
      </c>
      <c r="BC9" s="400" t="s">
        <v>370</v>
      </c>
      <c r="BD9" s="401"/>
      <c r="BE9" s="122" t="s">
        <v>360</v>
      </c>
      <c r="BF9" s="179" t="s">
        <v>370</v>
      </c>
      <c r="BG9" s="428" t="s">
        <v>360</v>
      </c>
      <c r="BH9" s="428" t="s">
        <v>370</v>
      </c>
      <c r="BI9" s="428" t="s">
        <v>360</v>
      </c>
      <c r="BJ9" s="428" t="s">
        <v>370</v>
      </c>
      <c r="BK9" s="402" t="s">
        <v>782</v>
      </c>
    </row>
    <row r="10" spans="1:71" ht="55.15" customHeight="1" x14ac:dyDescent="0.2">
      <c r="A10" s="403" t="s">
        <v>10</v>
      </c>
      <c r="C10" s="395" t="s">
        <v>356</v>
      </c>
      <c r="E10" s="396" t="s">
        <v>385</v>
      </c>
      <c r="F10" s="397"/>
      <c r="G10" s="396" t="s">
        <v>386</v>
      </c>
      <c r="H10" s="397"/>
      <c r="I10" s="405">
        <v>30</v>
      </c>
      <c r="J10" s="398"/>
      <c r="K10" s="395" t="s">
        <v>387</v>
      </c>
      <c r="L10" s="398"/>
      <c r="M10" s="395" t="s">
        <v>55</v>
      </c>
      <c r="N10" s="398"/>
      <c r="O10" s="177" t="s">
        <v>388</v>
      </c>
      <c r="P10" s="399" t="s">
        <v>389</v>
      </c>
      <c r="Q10" s="178" t="s">
        <v>360</v>
      </c>
      <c r="R10" s="178"/>
      <c r="S10" s="179" t="s">
        <v>370</v>
      </c>
      <c r="T10" s="177"/>
      <c r="U10" s="177" t="s">
        <v>360</v>
      </c>
      <c r="V10" s="178"/>
      <c r="W10" s="179" t="s">
        <v>628</v>
      </c>
      <c r="X10" s="178"/>
      <c r="Y10" s="177" t="s">
        <v>360</v>
      </c>
      <c r="Z10" s="178"/>
      <c r="AA10" s="179" t="s">
        <v>370</v>
      </c>
      <c r="AB10" s="177"/>
      <c r="AC10" s="177" t="s">
        <v>360</v>
      </c>
      <c r="AD10" s="178"/>
      <c r="AE10" s="179" t="s">
        <v>370</v>
      </c>
      <c r="AF10" s="177" t="s">
        <v>360</v>
      </c>
      <c r="AG10" s="178"/>
      <c r="AH10" s="179" t="s">
        <v>370</v>
      </c>
      <c r="AK10" s="160" t="s">
        <v>390</v>
      </c>
      <c r="AO10" s="122" t="s">
        <v>360</v>
      </c>
      <c r="AP10" s="398"/>
      <c r="AQ10" s="179" t="s">
        <v>370</v>
      </c>
      <c r="AR10" s="395" t="s">
        <v>360</v>
      </c>
      <c r="AS10" s="398"/>
      <c r="AT10" s="400" t="s">
        <v>370</v>
      </c>
      <c r="AU10" s="401"/>
      <c r="AV10" s="122" t="s">
        <v>360</v>
      </c>
      <c r="AW10" s="400" t="s">
        <v>370</v>
      </c>
      <c r="AX10" s="401"/>
      <c r="AY10" s="122" t="s">
        <v>360</v>
      </c>
      <c r="AZ10" s="179" t="s">
        <v>370</v>
      </c>
      <c r="BA10" s="401"/>
      <c r="BB10" s="122" t="s">
        <v>360</v>
      </c>
      <c r="BC10" s="400" t="s">
        <v>370</v>
      </c>
      <c r="BD10" s="401"/>
      <c r="BE10" s="122" t="s">
        <v>360</v>
      </c>
      <c r="BF10" s="179" t="s">
        <v>370</v>
      </c>
      <c r="BG10" s="428" t="s">
        <v>360</v>
      </c>
      <c r="BH10" s="428" t="s">
        <v>370</v>
      </c>
      <c r="BI10" s="428" t="s">
        <v>360</v>
      </c>
      <c r="BJ10" s="428" t="s">
        <v>370</v>
      </c>
      <c r="BK10" s="402" t="s">
        <v>782</v>
      </c>
    </row>
    <row r="11" spans="1:71" ht="55.15" customHeight="1" x14ac:dyDescent="0.2">
      <c r="A11" s="403" t="s">
        <v>10</v>
      </c>
      <c r="B11" s="404"/>
      <c r="C11" s="395" t="s">
        <v>391</v>
      </c>
      <c r="D11" s="404"/>
      <c r="E11" s="396" t="s">
        <v>392</v>
      </c>
      <c r="F11" s="397"/>
      <c r="G11" s="396" t="s">
        <v>393</v>
      </c>
      <c r="H11" s="397"/>
      <c r="I11" s="395" t="s">
        <v>894</v>
      </c>
      <c r="J11" s="398"/>
      <c r="K11" s="395" t="s">
        <v>394</v>
      </c>
      <c r="L11" s="398"/>
      <c r="M11" s="395" t="s">
        <v>55</v>
      </c>
      <c r="N11" s="398"/>
      <c r="O11" s="406">
        <v>40452</v>
      </c>
      <c r="P11" s="399" t="s">
        <v>395</v>
      </c>
      <c r="Q11" s="178" t="s">
        <v>360</v>
      </c>
      <c r="R11" s="178"/>
      <c r="S11" s="179">
        <v>3172778</v>
      </c>
      <c r="T11" s="178"/>
      <c r="U11" s="177" t="s">
        <v>360</v>
      </c>
      <c r="V11" s="178"/>
      <c r="W11" s="179">
        <v>4431958</v>
      </c>
      <c r="X11" s="178"/>
      <c r="Y11" s="177" t="s">
        <v>360</v>
      </c>
      <c r="Z11" s="178"/>
      <c r="AA11" s="179">
        <v>4698669</v>
      </c>
      <c r="AB11" s="178"/>
      <c r="AC11" s="177" t="s">
        <v>360</v>
      </c>
      <c r="AD11" s="178"/>
      <c r="AE11" s="179">
        <v>4558486</v>
      </c>
      <c r="AF11" s="177" t="s">
        <v>360</v>
      </c>
      <c r="AG11" s="178"/>
      <c r="AH11" s="179">
        <v>5153436</v>
      </c>
      <c r="AI11" s="192"/>
      <c r="AK11" s="160" t="s">
        <v>715</v>
      </c>
      <c r="AO11" s="122" t="s">
        <v>360</v>
      </c>
      <c r="AP11" s="398"/>
      <c r="AQ11" s="179">
        <v>4962039</v>
      </c>
      <c r="AR11" s="395" t="s">
        <v>360</v>
      </c>
      <c r="AS11" s="398"/>
      <c r="AT11" s="400">
        <v>5214606.95</v>
      </c>
      <c r="AU11" s="401"/>
      <c r="AV11" s="122" t="s">
        <v>360</v>
      </c>
      <c r="AW11" s="400">
        <v>5246593</v>
      </c>
      <c r="AX11" s="401"/>
      <c r="AY11" s="122" t="s">
        <v>360</v>
      </c>
      <c r="AZ11" s="179">
        <v>5195913</v>
      </c>
      <c r="BA11" s="401"/>
      <c r="BB11" s="122" t="s">
        <v>360</v>
      </c>
      <c r="BC11" s="400">
        <v>5232075.46</v>
      </c>
      <c r="BD11" s="401"/>
      <c r="BE11" s="122" t="s">
        <v>360</v>
      </c>
      <c r="BF11" s="179">
        <v>4783236.75</v>
      </c>
      <c r="BG11" s="179" t="s">
        <v>360</v>
      </c>
      <c r="BH11" s="179">
        <v>4776616</v>
      </c>
      <c r="BI11" s="179" t="s">
        <v>360</v>
      </c>
      <c r="BJ11" s="179">
        <v>5581770</v>
      </c>
      <c r="BK11" s="402" t="s">
        <v>816</v>
      </c>
    </row>
    <row r="12" spans="1:71" ht="55.15" customHeight="1" x14ac:dyDescent="0.2">
      <c r="A12" s="403" t="s">
        <v>10</v>
      </c>
      <c r="C12" s="395" t="s">
        <v>391</v>
      </c>
      <c r="E12" s="396" t="s">
        <v>396</v>
      </c>
      <c r="F12" s="397"/>
      <c r="G12" s="396" t="s">
        <v>393</v>
      </c>
      <c r="H12" s="397"/>
      <c r="I12" s="395" t="s">
        <v>893</v>
      </c>
      <c r="J12" s="398"/>
      <c r="K12" s="395" t="s">
        <v>394</v>
      </c>
      <c r="L12" s="398"/>
      <c r="M12" s="395" t="s">
        <v>55</v>
      </c>
      <c r="N12" s="398"/>
      <c r="O12" s="177" t="s">
        <v>360</v>
      </c>
      <c r="P12" s="399" t="s">
        <v>397</v>
      </c>
      <c r="Q12" s="178" t="s">
        <v>360</v>
      </c>
      <c r="R12" s="178"/>
      <c r="S12" s="179">
        <v>5024</v>
      </c>
      <c r="T12" s="178"/>
      <c r="U12" s="177" t="s">
        <v>360</v>
      </c>
      <c r="V12" s="178"/>
      <c r="W12" s="179" t="s">
        <v>628</v>
      </c>
      <c r="X12" s="178"/>
      <c r="Y12" s="177" t="s">
        <v>360</v>
      </c>
      <c r="Z12" s="178"/>
      <c r="AA12" s="179" t="s">
        <v>628</v>
      </c>
      <c r="AB12" s="178"/>
      <c r="AC12" s="177" t="s">
        <v>360</v>
      </c>
      <c r="AD12" s="178"/>
      <c r="AE12" s="179" t="s">
        <v>628</v>
      </c>
      <c r="AF12" s="177" t="s">
        <v>360</v>
      </c>
      <c r="AG12" s="178"/>
      <c r="AH12" s="179" t="s">
        <v>628</v>
      </c>
      <c r="AI12" s="192"/>
      <c r="AK12" s="160" t="s">
        <v>390</v>
      </c>
      <c r="AO12" s="122" t="s">
        <v>360</v>
      </c>
      <c r="AP12" s="398"/>
      <c r="AQ12" s="179" t="s">
        <v>628</v>
      </c>
      <c r="AR12" s="395" t="s">
        <v>360</v>
      </c>
      <c r="AS12" s="398"/>
      <c r="AT12" s="400" t="s">
        <v>628</v>
      </c>
      <c r="AU12" s="401"/>
      <c r="AV12" s="122" t="s">
        <v>360</v>
      </c>
      <c r="AW12" s="400" t="s">
        <v>628</v>
      </c>
      <c r="AX12" s="401"/>
      <c r="AY12" s="122" t="s">
        <v>360</v>
      </c>
      <c r="AZ12" s="179" t="s">
        <v>628</v>
      </c>
      <c r="BA12" s="401"/>
      <c r="BB12" s="122" t="s">
        <v>360</v>
      </c>
      <c r="BC12" s="400" t="s">
        <v>628</v>
      </c>
      <c r="BD12" s="401"/>
      <c r="BE12" s="122" t="s">
        <v>360</v>
      </c>
      <c r="BF12" s="179" t="s">
        <v>628</v>
      </c>
      <c r="BG12" s="179" t="s">
        <v>360</v>
      </c>
      <c r="BH12" s="179" t="s">
        <v>628</v>
      </c>
      <c r="BI12" s="179" t="s">
        <v>360</v>
      </c>
      <c r="BJ12" s="179" t="s">
        <v>628</v>
      </c>
      <c r="BK12" s="402" t="s">
        <v>797</v>
      </c>
    </row>
    <row r="13" spans="1:71" ht="55.15" customHeight="1" x14ac:dyDescent="0.2">
      <c r="A13" s="403" t="s">
        <v>10</v>
      </c>
      <c r="B13" s="404"/>
      <c r="C13" s="395" t="s">
        <v>391</v>
      </c>
      <c r="D13" s="404"/>
      <c r="E13" s="396" t="s">
        <v>398</v>
      </c>
      <c r="F13" s="397"/>
      <c r="G13" s="396"/>
      <c r="H13" s="397"/>
      <c r="I13" s="405" t="s">
        <v>892</v>
      </c>
      <c r="J13" s="398"/>
      <c r="K13" s="395" t="s">
        <v>394</v>
      </c>
      <c r="L13" s="398"/>
      <c r="M13" s="395" t="s">
        <v>55</v>
      </c>
      <c r="N13" s="398"/>
      <c r="O13" s="406">
        <v>40452</v>
      </c>
      <c r="P13" s="399"/>
      <c r="Q13" s="178" t="s">
        <v>360</v>
      </c>
      <c r="R13" s="178"/>
      <c r="S13" s="179" t="s">
        <v>370</v>
      </c>
      <c r="T13" s="178"/>
      <c r="U13" s="177" t="s">
        <v>360</v>
      </c>
      <c r="V13" s="178"/>
      <c r="W13" s="179" t="s">
        <v>628</v>
      </c>
      <c r="X13" s="178"/>
      <c r="Y13" s="177" t="s">
        <v>360</v>
      </c>
      <c r="Z13" s="178"/>
      <c r="AA13" s="179" t="s">
        <v>628</v>
      </c>
      <c r="AB13" s="178"/>
      <c r="AC13" s="177" t="s">
        <v>360</v>
      </c>
      <c r="AD13" s="178"/>
      <c r="AE13" s="179" t="s">
        <v>628</v>
      </c>
      <c r="AF13" s="177" t="s">
        <v>360</v>
      </c>
      <c r="AG13" s="178"/>
      <c r="AH13" s="179" t="s">
        <v>628</v>
      </c>
      <c r="AI13" s="192"/>
      <c r="AO13" s="122" t="s">
        <v>360</v>
      </c>
      <c r="AP13" s="398"/>
      <c r="AQ13" s="179" t="s">
        <v>628</v>
      </c>
      <c r="AR13" s="395" t="s">
        <v>360</v>
      </c>
      <c r="AS13" s="398"/>
      <c r="AT13" s="400" t="s">
        <v>628</v>
      </c>
      <c r="AU13" s="401"/>
      <c r="AV13" s="122" t="s">
        <v>360</v>
      </c>
      <c r="AW13" s="400" t="s">
        <v>628</v>
      </c>
      <c r="AX13" s="401"/>
      <c r="AY13" s="122" t="s">
        <v>360</v>
      </c>
      <c r="AZ13" s="179" t="s">
        <v>628</v>
      </c>
      <c r="BA13" s="401"/>
      <c r="BB13" s="122" t="s">
        <v>360</v>
      </c>
      <c r="BC13" s="400" t="s">
        <v>628</v>
      </c>
      <c r="BD13" s="401"/>
      <c r="BE13" s="122" t="s">
        <v>360</v>
      </c>
      <c r="BF13" s="179" t="s">
        <v>628</v>
      </c>
      <c r="BG13" s="179" t="s">
        <v>360</v>
      </c>
      <c r="BH13" s="179" t="s">
        <v>628</v>
      </c>
      <c r="BI13" s="179" t="s">
        <v>360</v>
      </c>
      <c r="BJ13" s="179" t="s">
        <v>628</v>
      </c>
      <c r="BK13" s="402" t="s">
        <v>797</v>
      </c>
    </row>
    <row r="14" spans="1:71" ht="55.15" customHeight="1" x14ac:dyDescent="0.2">
      <c r="A14" s="403" t="s">
        <v>10</v>
      </c>
      <c r="C14" s="395" t="s">
        <v>399</v>
      </c>
      <c r="E14" s="396" t="s">
        <v>400</v>
      </c>
      <c r="F14" s="397"/>
      <c r="G14" s="396" t="s">
        <v>891</v>
      </c>
      <c r="H14" s="397"/>
      <c r="I14" s="395" t="s">
        <v>401</v>
      </c>
      <c r="J14" s="398"/>
      <c r="K14" s="395" t="s">
        <v>402</v>
      </c>
      <c r="L14" s="398"/>
      <c r="M14" s="395" t="s">
        <v>403</v>
      </c>
      <c r="N14" s="398"/>
      <c r="O14" s="177">
        <v>2008</v>
      </c>
      <c r="P14" s="399" t="s">
        <v>404</v>
      </c>
      <c r="Q14" s="178" t="s">
        <v>360</v>
      </c>
      <c r="R14" s="178"/>
      <c r="S14" s="179">
        <v>1058816</v>
      </c>
      <c r="T14" s="178"/>
      <c r="U14" s="177" t="s">
        <v>360</v>
      </c>
      <c r="V14" s="178"/>
      <c r="W14" s="179">
        <v>445952.66</v>
      </c>
      <c r="X14" s="178"/>
      <c r="Y14" s="177" t="s">
        <v>360</v>
      </c>
      <c r="Z14" s="178"/>
      <c r="AA14" s="179">
        <v>373418</v>
      </c>
      <c r="AB14" s="178"/>
      <c r="AC14" s="177" t="s">
        <v>360</v>
      </c>
      <c r="AD14" s="178"/>
      <c r="AE14" s="179">
        <v>406304</v>
      </c>
      <c r="AF14" s="177" t="s">
        <v>360</v>
      </c>
      <c r="AG14" s="178"/>
      <c r="AH14" s="179">
        <v>338228</v>
      </c>
      <c r="AI14" s="192"/>
      <c r="AK14" s="160" t="s">
        <v>405</v>
      </c>
      <c r="AO14" s="122" t="s">
        <v>360</v>
      </c>
      <c r="AP14" s="398"/>
      <c r="AQ14" s="179">
        <v>353449</v>
      </c>
      <c r="AR14" s="395" t="s">
        <v>360</v>
      </c>
      <c r="AS14" s="398"/>
      <c r="AT14" s="400">
        <v>281587</v>
      </c>
      <c r="AU14" s="401"/>
      <c r="AV14" s="122" t="s">
        <v>360</v>
      </c>
      <c r="AW14" s="400">
        <v>289155</v>
      </c>
      <c r="AX14" s="401"/>
      <c r="AY14" s="122" t="s">
        <v>360</v>
      </c>
      <c r="AZ14" s="179">
        <v>307765</v>
      </c>
      <c r="BA14" s="401"/>
      <c r="BB14" s="122" t="s">
        <v>360</v>
      </c>
      <c r="BC14" s="425">
        <v>274422</v>
      </c>
      <c r="BD14" s="401"/>
      <c r="BE14" s="122" t="s">
        <v>360</v>
      </c>
      <c r="BF14" s="428">
        <v>580425</v>
      </c>
      <c r="BG14" s="179" t="s">
        <v>360</v>
      </c>
      <c r="BH14" s="179">
        <v>268991</v>
      </c>
      <c r="BI14" s="179" t="s">
        <v>360</v>
      </c>
      <c r="BJ14" s="179">
        <v>465084</v>
      </c>
      <c r="BK14" s="402" t="s">
        <v>797</v>
      </c>
    </row>
    <row r="15" spans="1:71" ht="55.15" customHeight="1" x14ac:dyDescent="0.2">
      <c r="A15" s="403" t="s">
        <v>10</v>
      </c>
      <c r="B15" s="404"/>
      <c r="C15" s="395" t="s">
        <v>399</v>
      </c>
      <c r="D15" s="404"/>
      <c r="E15" s="396" t="s">
        <v>406</v>
      </c>
      <c r="F15" s="397"/>
      <c r="G15" s="396" t="s">
        <v>407</v>
      </c>
      <c r="H15" s="397"/>
      <c r="I15" s="395" t="s">
        <v>408</v>
      </c>
      <c r="J15" s="398"/>
      <c r="K15" s="395" t="s">
        <v>409</v>
      </c>
      <c r="L15" s="398"/>
      <c r="M15" s="395" t="s">
        <v>410</v>
      </c>
      <c r="N15" s="398"/>
      <c r="O15" s="177" t="s">
        <v>411</v>
      </c>
      <c r="P15" s="399" t="s">
        <v>404</v>
      </c>
      <c r="Q15" s="178" t="s">
        <v>360</v>
      </c>
      <c r="R15" s="178"/>
      <c r="S15" s="179" t="s">
        <v>360</v>
      </c>
      <c r="T15" s="178"/>
      <c r="U15" s="177" t="s">
        <v>360</v>
      </c>
      <c r="V15" s="178"/>
      <c r="W15" s="179">
        <v>10649202</v>
      </c>
      <c r="X15" s="178"/>
      <c r="Y15" s="177" t="s">
        <v>360</v>
      </c>
      <c r="Z15" s="178"/>
      <c r="AA15" s="179">
        <v>11427254</v>
      </c>
      <c r="AB15" s="178"/>
      <c r="AC15" s="177" t="s">
        <v>360</v>
      </c>
      <c r="AD15" s="178"/>
      <c r="AE15" s="179">
        <v>12009126</v>
      </c>
      <c r="AF15" s="177" t="s">
        <v>360</v>
      </c>
      <c r="AG15" s="178"/>
      <c r="AH15" s="179">
        <v>9716724</v>
      </c>
      <c r="AI15" s="192"/>
      <c r="AK15" s="160" t="s">
        <v>716</v>
      </c>
      <c r="AO15" s="122" t="s">
        <v>360</v>
      </c>
      <c r="AP15" s="398"/>
      <c r="AQ15" s="179">
        <v>10812822.98</v>
      </c>
      <c r="AR15" s="395" t="s">
        <v>360</v>
      </c>
      <c r="AS15" s="398"/>
      <c r="AT15" s="400">
        <v>10291845</v>
      </c>
      <c r="AU15" s="401"/>
      <c r="AV15" s="122" t="s">
        <v>360</v>
      </c>
      <c r="AW15" s="400">
        <v>8942211</v>
      </c>
      <c r="AX15" s="401"/>
      <c r="AY15" s="122" t="s">
        <v>360</v>
      </c>
      <c r="AZ15" s="179">
        <v>11782888</v>
      </c>
      <c r="BA15" s="401"/>
      <c r="BB15" s="122" t="s">
        <v>360</v>
      </c>
      <c r="BC15" s="425">
        <v>10916488</v>
      </c>
      <c r="BD15" s="401"/>
      <c r="BE15" s="122" t="s">
        <v>360</v>
      </c>
      <c r="BF15" s="428">
        <v>10292071</v>
      </c>
      <c r="BG15" s="179" t="s">
        <v>360</v>
      </c>
      <c r="BH15" s="179">
        <v>9726140</v>
      </c>
      <c r="BI15" s="179" t="s">
        <v>360</v>
      </c>
      <c r="BJ15" s="179">
        <v>10793400</v>
      </c>
      <c r="BK15" s="402" t="s">
        <v>797</v>
      </c>
    </row>
    <row r="16" spans="1:71" ht="72" x14ac:dyDescent="0.2">
      <c r="A16" s="407" t="s">
        <v>10</v>
      </c>
      <c r="C16" s="395" t="s">
        <v>391</v>
      </c>
      <c r="E16" s="396" t="s">
        <v>412</v>
      </c>
      <c r="F16" s="397"/>
      <c r="G16" s="396" t="s">
        <v>53</v>
      </c>
      <c r="H16" s="397"/>
      <c r="I16" s="395" t="s">
        <v>895</v>
      </c>
      <c r="J16" s="398"/>
      <c r="K16" s="395" t="s">
        <v>413</v>
      </c>
      <c r="L16" s="398"/>
      <c r="M16" s="395" t="s">
        <v>414</v>
      </c>
      <c r="N16" s="398"/>
      <c r="O16" s="177" t="s">
        <v>415</v>
      </c>
      <c r="P16" s="399" t="s">
        <v>416</v>
      </c>
      <c r="Q16" s="178" t="s">
        <v>360</v>
      </c>
      <c r="R16" s="178"/>
      <c r="S16" s="179">
        <v>39613</v>
      </c>
      <c r="T16" s="178"/>
      <c r="U16" s="177" t="s">
        <v>360</v>
      </c>
      <c r="V16" s="178"/>
      <c r="W16" s="179">
        <v>37902.28</v>
      </c>
      <c r="X16" s="178"/>
      <c r="Y16" s="177" t="s">
        <v>360</v>
      </c>
      <c r="Z16" s="178"/>
      <c r="AA16" s="179">
        <v>42788</v>
      </c>
      <c r="AB16" s="178"/>
      <c r="AC16" s="177" t="s">
        <v>360</v>
      </c>
      <c r="AD16" s="178"/>
      <c r="AE16" s="179">
        <v>54912</v>
      </c>
      <c r="AF16" s="177" t="s">
        <v>360</v>
      </c>
      <c r="AG16" s="178"/>
      <c r="AH16" s="179">
        <v>55449</v>
      </c>
      <c r="AI16" s="192"/>
      <c r="AK16" s="160" t="s">
        <v>417</v>
      </c>
      <c r="AO16" s="122" t="s">
        <v>360</v>
      </c>
      <c r="AP16" s="398"/>
      <c r="AQ16" s="179">
        <v>60703</v>
      </c>
      <c r="AR16" s="395" t="s">
        <v>360</v>
      </c>
      <c r="AS16" s="398"/>
      <c r="AT16" s="400">
        <v>57876</v>
      </c>
      <c r="AU16" s="401"/>
      <c r="AV16" s="122" t="s">
        <v>360</v>
      </c>
      <c r="AW16" s="400">
        <v>65923</v>
      </c>
      <c r="AX16" s="401"/>
      <c r="AY16" s="122" t="s">
        <v>360</v>
      </c>
      <c r="AZ16" s="179">
        <v>60478</v>
      </c>
      <c r="BA16" s="401"/>
      <c r="BB16" s="122" t="s">
        <v>360</v>
      </c>
      <c r="BC16" s="400">
        <v>83141.14</v>
      </c>
      <c r="BD16" s="401"/>
      <c r="BE16" s="122" t="s">
        <v>360</v>
      </c>
      <c r="BF16" s="179">
        <v>66271.539999999994</v>
      </c>
      <c r="BG16" s="179" t="s">
        <v>360</v>
      </c>
      <c r="BH16" s="179">
        <v>89812</v>
      </c>
      <c r="BI16" s="179" t="s">
        <v>360</v>
      </c>
      <c r="BJ16" s="179">
        <v>92881</v>
      </c>
      <c r="BK16" s="402" t="s">
        <v>782</v>
      </c>
    </row>
    <row r="17" spans="1:63" ht="55.15" customHeight="1" x14ac:dyDescent="0.2">
      <c r="A17" s="403" t="s">
        <v>10</v>
      </c>
      <c r="B17" s="247"/>
      <c r="C17" s="395" t="s">
        <v>418</v>
      </c>
      <c r="D17" s="247"/>
      <c r="E17" s="396" t="s">
        <v>419</v>
      </c>
      <c r="F17" s="397"/>
      <c r="G17" s="396" t="s">
        <v>420</v>
      </c>
      <c r="H17" s="397"/>
      <c r="I17" s="405">
        <v>20</v>
      </c>
      <c r="J17" s="398"/>
      <c r="K17" s="395" t="s">
        <v>409</v>
      </c>
      <c r="L17" s="398"/>
      <c r="M17" s="395" t="s">
        <v>421</v>
      </c>
      <c r="N17" s="398"/>
      <c r="O17" s="177">
        <v>2013</v>
      </c>
      <c r="P17" s="399" t="s">
        <v>720</v>
      </c>
      <c r="Q17" s="178" t="s">
        <v>360</v>
      </c>
      <c r="R17" s="178"/>
      <c r="S17" s="179">
        <v>65300</v>
      </c>
      <c r="T17" s="178"/>
      <c r="U17" s="177" t="s">
        <v>360</v>
      </c>
      <c r="V17" s="178"/>
      <c r="W17" s="179">
        <v>64265</v>
      </c>
      <c r="X17" s="178"/>
      <c r="Y17" s="177" t="s">
        <v>360</v>
      </c>
      <c r="Z17" s="178"/>
      <c r="AA17" s="179">
        <v>68380</v>
      </c>
      <c r="AB17" s="178"/>
      <c r="AC17" s="177" t="s">
        <v>360</v>
      </c>
      <c r="AD17" s="178"/>
      <c r="AE17" s="179">
        <v>68035</v>
      </c>
      <c r="AF17" s="177" t="s">
        <v>360</v>
      </c>
      <c r="AG17" s="178"/>
      <c r="AH17" s="179">
        <v>131985</v>
      </c>
      <c r="AI17" s="262"/>
      <c r="AJ17" s="181"/>
      <c r="AK17" s="185" t="s">
        <v>422</v>
      </c>
      <c r="AL17" s="181"/>
      <c r="AM17" s="279" t="s">
        <v>423</v>
      </c>
      <c r="AO17" s="122" t="s">
        <v>360</v>
      </c>
      <c r="AP17" s="398"/>
      <c r="AQ17" s="179">
        <v>128624</v>
      </c>
      <c r="AR17" s="395" t="s">
        <v>360</v>
      </c>
      <c r="AS17" s="398"/>
      <c r="AT17" s="400">
        <v>56495</v>
      </c>
      <c r="AU17" s="401"/>
      <c r="AV17" s="122">
        <v>1095</v>
      </c>
      <c r="AW17" s="400">
        <v>144835</v>
      </c>
      <c r="AX17" s="401"/>
      <c r="AY17" s="122">
        <v>1299</v>
      </c>
      <c r="AZ17" s="179">
        <v>150085</v>
      </c>
      <c r="BA17" s="401"/>
      <c r="BB17" s="122">
        <v>1122</v>
      </c>
      <c r="BC17" s="400">
        <v>129360</v>
      </c>
      <c r="BD17" s="401"/>
      <c r="BE17" s="122">
        <v>1166</v>
      </c>
      <c r="BF17" s="179">
        <v>142680</v>
      </c>
      <c r="BG17" s="429">
        <v>1230</v>
      </c>
      <c r="BH17" s="430">
        <v>148865</v>
      </c>
      <c r="BI17" s="429">
        <v>1206</v>
      </c>
      <c r="BJ17" s="430">
        <v>143105</v>
      </c>
      <c r="BK17" s="402" t="s">
        <v>816</v>
      </c>
    </row>
    <row r="18" spans="1:63" ht="55.15" customHeight="1" x14ac:dyDescent="0.2">
      <c r="A18" s="403" t="s">
        <v>10</v>
      </c>
      <c r="B18" s="247"/>
      <c r="C18" s="395" t="s">
        <v>418</v>
      </c>
      <c r="D18" s="247"/>
      <c r="E18" s="396" t="s">
        <v>424</v>
      </c>
      <c r="F18" s="397"/>
      <c r="G18" s="396" t="s">
        <v>420</v>
      </c>
      <c r="H18" s="397"/>
      <c r="I18" s="405">
        <v>25</v>
      </c>
      <c r="J18" s="398"/>
      <c r="K18" s="395" t="s">
        <v>425</v>
      </c>
      <c r="L18" s="398"/>
      <c r="M18" s="395" t="s">
        <v>421</v>
      </c>
      <c r="N18" s="398"/>
      <c r="O18" s="177">
        <v>2013</v>
      </c>
      <c r="P18" s="399" t="s">
        <v>720</v>
      </c>
      <c r="Q18" s="178" t="s">
        <v>360</v>
      </c>
      <c r="R18" s="178"/>
      <c r="S18" s="179" t="s">
        <v>370</v>
      </c>
      <c r="T18" s="178"/>
      <c r="U18" s="177" t="s">
        <v>360</v>
      </c>
      <c r="V18" s="178"/>
      <c r="W18" s="179" t="s">
        <v>628</v>
      </c>
      <c r="X18" s="178"/>
      <c r="Y18" s="177" t="s">
        <v>360</v>
      </c>
      <c r="Z18" s="178"/>
      <c r="AA18" s="179" t="s">
        <v>628</v>
      </c>
      <c r="AB18" s="178"/>
      <c r="AC18" s="177" t="s">
        <v>360</v>
      </c>
      <c r="AD18" s="178"/>
      <c r="AE18" s="179" t="s">
        <v>628</v>
      </c>
      <c r="AF18" s="177" t="s">
        <v>360</v>
      </c>
      <c r="AG18" s="178"/>
      <c r="AH18" s="179" t="s">
        <v>628</v>
      </c>
      <c r="AI18" s="262"/>
      <c r="AJ18" s="181"/>
      <c r="AK18" s="185" t="s">
        <v>422</v>
      </c>
      <c r="AL18" s="181"/>
      <c r="AM18" s="279" t="s">
        <v>423</v>
      </c>
      <c r="AO18" s="122" t="s">
        <v>360</v>
      </c>
      <c r="AP18" s="398"/>
      <c r="AQ18" s="179" t="s">
        <v>628</v>
      </c>
      <c r="AR18" s="395" t="s">
        <v>360</v>
      </c>
      <c r="AS18" s="398"/>
      <c r="AT18" s="400" t="s">
        <v>628</v>
      </c>
      <c r="AU18" s="401"/>
      <c r="AV18" s="122" t="s">
        <v>360</v>
      </c>
      <c r="AW18" s="400" t="s">
        <v>628</v>
      </c>
      <c r="AX18" s="401"/>
      <c r="AY18" s="122" t="s">
        <v>360</v>
      </c>
      <c r="AZ18" s="179" t="s">
        <v>628</v>
      </c>
      <c r="BA18" s="401"/>
      <c r="BB18" s="122" t="s">
        <v>360</v>
      </c>
      <c r="BC18" s="400" t="s">
        <v>628</v>
      </c>
      <c r="BD18" s="401"/>
      <c r="BE18" s="122" t="s">
        <v>360</v>
      </c>
      <c r="BF18" s="179" t="s">
        <v>628</v>
      </c>
      <c r="BG18" s="429" t="s">
        <v>360</v>
      </c>
      <c r="BH18" s="430" t="s">
        <v>360</v>
      </c>
      <c r="BI18" s="429" t="s">
        <v>360</v>
      </c>
      <c r="BJ18" s="430" t="s">
        <v>360</v>
      </c>
      <c r="BK18" s="402" t="s">
        <v>816</v>
      </c>
    </row>
    <row r="19" spans="1:63" ht="55.15" customHeight="1" x14ac:dyDescent="0.2">
      <c r="A19" s="403" t="s">
        <v>10</v>
      </c>
      <c r="B19" s="247"/>
      <c r="C19" s="395" t="s">
        <v>418</v>
      </c>
      <c r="D19" s="247"/>
      <c r="E19" s="408" t="s">
        <v>721</v>
      </c>
      <c r="F19" s="397"/>
      <c r="G19" s="396" t="s">
        <v>420</v>
      </c>
      <c r="H19" s="397"/>
      <c r="I19" s="405">
        <v>100</v>
      </c>
      <c r="J19" s="398"/>
      <c r="K19" s="395" t="s">
        <v>425</v>
      </c>
      <c r="L19" s="398"/>
      <c r="M19" s="395" t="s">
        <v>421</v>
      </c>
      <c r="N19" s="398"/>
      <c r="O19" s="177">
        <v>2011</v>
      </c>
      <c r="P19" s="399" t="s">
        <v>722</v>
      </c>
      <c r="Q19" s="178"/>
      <c r="R19" s="178"/>
      <c r="S19" s="179"/>
      <c r="T19" s="178"/>
      <c r="U19" s="177"/>
      <c r="V19" s="178"/>
      <c r="W19" s="179"/>
      <c r="X19" s="178"/>
      <c r="Y19" s="177">
        <v>132</v>
      </c>
      <c r="Z19" s="178"/>
      <c r="AA19" s="179">
        <v>12040</v>
      </c>
      <c r="AB19" s="178"/>
      <c r="AC19" s="177">
        <v>128</v>
      </c>
      <c r="AD19" s="178"/>
      <c r="AE19" s="179">
        <v>16000</v>
      </c>
      <c r="AF19" s="177">
        <v>139</v>
      </c>
      <c r="AG19" s="178"/>
      <c r="AH19" s="179">
        <v>10460</v>
      </c>
      <c r="AI19" s="262"/>
      <c r="AJ19" s="181"/>
      <c r="AK19" s="181"/>
      <c r="AL19" s="181"/>
      <c r="AM19" s="181"/>
      <c r="AO19" s="122">
        <v>129</v>
      </c>
      <c r="AP19" s="398"/>
      <c r="AQ19" s="179" t="s">
        <v>370</v>
      </c>
      <c r="AR19" s="395">
        <v>116</v>
      </c>
      <c r="AS19" s="398"/>
      <c r="AT19" s="400" t="s">
        <v>370</v>
      </c>
      <c r="AU19" s="401"/>
      <c r="AV19" s="122">
        <v>162</v>
      </c>
      <c r="AW19" s="400">
        <v>13330</v>
      </c>
      <c r="AX19" s="401"/>
      <c r="AY19" s="122">
        <v>122</v>
      </c>
      <c r="AZ19" s="179">
        <v>9400</v>
      </c>
      <c r="BA19" s="401"/>
      <c r="BB19" s="122">
        <v>36</v>
      </c>
      <c r="BC19" s="400">
        <v>2775</v>
      </c>
      <c r="BD19" s="401"/>
      <c r="BE19" s="122">
        <v>89</v>
      </c>
      <c r="BF19" s="179">
        <v>8975</v>
      </c>
      <c r="BG19" s="429">
        <v>41</v>
      </c>
      <c r="BH19" s="430">
        <v>6075</v>
      </c>
      <c r="BI19" s="429">
        <v>39</v>
      </c>
      <c r="BJ19" s="430">
        <v>6550</v>
      </c>
      <c r="BK19" s="402" t="s">
        <v>816</v>
      </c>
    </row>
    <row r="20" spans="1:63" ht="55.15" customHeight="1" x14ac:dyDescent="0.2">
      <c r="A20" s="403" t="s">
        <v>10</v>
      </c>
      <c r="B20" s="247"/>
      <c r="C20" s="395" t="s">
        <v>418</v>
      </c>
      <c r="D20" s="247"/>
      <c r="E20" s="408" t="s">
        <v>723</v>
      </c>
      <c r="F20" s="397"/>
      <c r="G20" s="396" t="s">
        <v>420</v>
      </c>
      <c r="H20" s="397"/>
      <c r="I20" s="405">
        <v>25</v>
      </c>
      <c r="J20" s="398"/>
      <c r="K20" s="395" t="s">
        <v>425</v>
      </c>
      <c r="L20" s="398"/>
      <c r="M20" s="395" t="s">
        <v>421</v>
      </c>
      <c r="N20" s="398"/>
      <c r="O20" s="177">
        <v>2011</v>
      </c>
      <c r="P20" s="399" t="s">
        <v>722</v>
      </c>
      <c r="Q20" s="178"/>
      <c r="R20" s="178"/>
      <c r="S20" s="179"/>
      <c r="T20" s="178"/>
      <c r="U20" s="177"/>
      <c r="V20" s="178"/>
      <c r="W20" s="179"/>
      <c r="X20" s="178"/>
      <c r="Y20" s="177" t="s">
        <v>360</v>
      </c>
      <c r="Z20" s="178"/>
      <c r="AA20" s="179" t="s">
        <v>628</v>
      </c>
      <c r="AB20" s="178"/>
      <c r="AC20" s="177" t="s">
        <v>360</v>
      </c>
      <c r="AD20" s="178"/>
      <c r="AE20" s="179" t="s">
        <v>628</v>
      </c>
      <c r="AF20" s="177" t="s">
        <v>360</v>
      </c>
      <c r="AG20" s="178"/>
      <c r="AH20" s="179" t="s">
        <v>628</v>
      </c>
      <c r="AI20" s="263"/>
      <c r="AJ20" s="181"/>
      <c r="AK20" s="181"/>
      <c r="AL20" s="181"/>
      <c r="AM20" s="181"/>
      <c r="AO20" s="122" t="s">
        <v>360</v>
      </c>
      <c r="AP20" s="398"/>
      <c r="AQ20" s="179" t="s">
        <v>370</v>
      </c>
      <c r="AR20" s="395" t="s">
        <v>360</v>
      </c>
      <c r="AS20" s="398"/>
      <c r="AT20" s="400" t="s">
        <v>370</v>
      </c>
      <c r="AU20" s="401"/>
      <c r="AV20" s="122" t="s">
        <v>360</v>
      </c>
      <c r="AW20" s="400" t="s">
        <v>628</v>
      </c>
      <c r="AX20" s="401"/>
      <c r="AY20" s="122" t="s">
        <v>360</v>
      </c>
      <c r="AZ20" s="179" t="s">
        <v>628</v>
      </c>
      <c r="BA20" s="401"/>
      <c r="BB20" s="122" t="s">
        <v>360</v>
      </c>
      <c r="BC20" s="400" t="s">
        <v>628</v>
      </c>
      <c r="BD20" s="401"/>
      <c r="BE20" s="122" t="s">
        <v>360</v>
      </c>
      <c r="BF20" s="179" t="s">
        <v>628</v>
      </c>
      <c r="BG20" s="429" t="s">
        <v>628</v>
      </c>
      <c r="BH20" s="430" t="s">
        <v>628</v>
      </c>
      <c r="BI20" s="429" t="s">
        <v>628</v>
      </c>
      <c r="BJ20" s="430" t="s">
        <v>628</v>
      </c>
      <c r="BK20" s="402" t="s">
        <v>816</v>
      </c>
    </row>
    <row r="21" spans="1:63" ht="55.15" customHeight="1" x14ac:dyDescent="0.2">
      <c r="A21" s="403" t="s">
        <v>10</v>
      </c>
      <c r="B21" s="247"/>
      <c r="C21" s="395" t="s">
        <v>418</v>
      </c>
      <c r="D21" s="247"/>
      <c r="E21" s="396" t="s">
        <v>426</v>
      </c>
      <c r="F21" s="397"/>
      <c r="G21" s="396" t="s">
        <v>427</v>
      </c>
      <c r="H21" s="397"/>
      <c r="I21" s="395" t="s">
        <v>428</v>
      </c>
      <c r="J21" s="398"/>
      <c r="K21" s="395" t="s">
        <v>724</v>
      </c>
      <c r="L21" s="398"/>
      <c r="M21" s="395" t="s">
        <v>429</v>
      </c>
      <c r="N21" s="398"/>
      <c r="O21" s="177">
        <v>2013</v>
      </c>
      <c r="P21" s="399" t="s">
        <v>725</v>
      </c>
      <c r="Q21" s="178" t="s">
        <v>360</v>
      </c>
      <c r="R21" s="178"/>
      <c r="S21" s="179">
        <v>24745</v>
      </c>
      <c r="T21" s="178"/>
      <c r="U21" s="177" t="s">
        <v>360</v>
      </c>
      <c r="V21" s="178"/>
      <c r="W21" s="179">
        <v>25440</v>
      </c>
      <c r="X21" s="178"/>
      <c r="Y21" s="177" t="s">
        <v>360</v>
      </c>
      <c r="Z21" s="178"/>
      <c r="AA21" s="179">
        <v>21950</v>
      </c>
      <c r="AB21" s="178"/>
      <c r="AC21" s="177" t="s">
        <v>360</v>
      </c>
      <c r="AD21" s="178"/>
      <c r="AE21" s="179">
        <v>17735</v>
      </c>
      <c r="AF21" s="177" t="s">
        <v>360</v>
      </c>
      <c r="AG21" s="178"/>
      <c r="AH21" s="179">
        <v>31420</v>
      </c>
      <c r="AI21" s="263"/>
      <c r="AJ21" s="181"/>
      <c r="AK21" s="185" t="s">
        <v>430</v>
      </c>
      <c r="AL21" s="181"/>
      <c r="AM21" s="181"/>
      <c r="AO21" s="122">
        <v>35</v>
      </c>
      <c r="AP21" s="398"/>
      <c r="AQ21" s="179">
        <v>2635</v>
      </c>
      <c r="AR21" s="395">
        <v>40</v>
      </c>
      <c r="AS21" s="398"/>
      <c r="AT21" s="400">
        <v>3045</v>
      </c>
      <c r="AU21" s="401"/>
      <c r="AV21" s="122">
        <v>61</v>
      </c>
      <c r="AW21" s="400">
        <v>4760</v>
      </c>
      <c r="AX21" s="401"/>
      <c r="AY21" s="122">
        <v>3</v>
      </c>
      <c r="AZ21" s="179">
        <v>160</v>
      </c>
      <c r="BA21" s="401"/>
      <c r="BB21" s="122">
        <v>0</v>
      </c>
      <c r="BC21" s="400">
        <v>0</v>
      </c>
      <c r="BD21" s="401"/>
      <c r="BE21" s="122">
        <v>104</v>
      </c>
      <c r="BF21" s="179">
        <v>9404.92</v>
      </c>
      <c r="BG21" s="429">
        <v>10</v>
      </c>
      <c r="BH21" s="430">
        <v>1078.32</v>
      </c>
      <c r="BI21" s="429">
        <v>9</v>
      </c>
      <c r="BJ21" s="430">
        <v>2551.63</v>
      </c>
      <c r="BK21" s="402" t="s">
        <v>816</v>
      </c>
    </row>
    <row r="22" spans="1:63" ht="55.15" customHeight="1" x14ac:dyDescent="0.2">
      <c r="A22" s="403" t="s">
        <v>10</v>
      </c>
      <c r="B22" s="247"/>
      <c r="C22" s="395" t="s">
        <v>418</v>
      </c>
      <c r="D22" s="247"/>
      <c r="E22" s="396" t="s">
        <v>726</v>
      </c>
      <c r="F22" s="397"/>
      <c r="G22" s="396" t="s">
        <v>427</v>
      </c>
      <c r="H22" s="397"/>
      <c r="I22" s="409">
        <v>60</v>
      </c>
      <c r="J22" s="398"/>
      <c r="K22" s="395" t="s">
        <v>724</v>
      </c>
      <c r="L22" s="398"/>
      <c r="M22" s="395" t="s">
        <v>429</v>
      </c>
      <c r="N22" s="398"/>
      <c r="O22" s="177">
        <v>2013</v>
      </c>
      <c r="P22" s="399" t="s">
        <v>725</v>
      </c>
      <c r="Q22" s="178"/>
      <c r="R22" s="178"/>
      <c r="S22" s="179"/>
      <c r="T22" s="178"/>
      <c r="U22" s="177"/>
      <c r="V22" s="178"/>
      <c r="W22" s="179"/>
      <c r="X22" s="178"/>
      <c r="Y22" s="177" t="s">
        <v>360</v>
      </c>
      <c r="Z22" s="178"/>
      <c r="AA22" s="179" t="s">
        <v>628</v>
      </c>
      <c r="AB22" s="178"/>
      <c r="AC22" s="177" t="s">
        <v>360</v>
      </c>
      <c r="AD22" s="178"/>
      <c r="AE22" s="179" t="s">
        <v>628</v>
      </c>
      <c r="AF22" s="177" t="s">
        <v>360</v>
      </c>
      <c r="AG22" s="178"/>
      <c r="AH22" s="179" t="s">
        <v>628</v>
      </c>
      <c r="AI22" s="263"/>
      <c r="AJ22" s="181"/>
      <c r="AK22" s="181"/>
      <c r="AL22" s="181"/>
      <c r="AM22" s="181"/>
      <c r="AO22" s="122" t="s">
        <v>360</v>
      </c>
      <c r="AP22" s="398"/>
      <c r="AQ22" s="179" t="s">
        <v>370</v>
      </c>
      <c r="AR22" s="395" t="s">
        <v>360</v>
      </c>
      <c r="AS22" s="398"/>
      <c r="AT22" s="400" t="s">
        <v>370</v>
      </c>
      <c r="AU22" s="401"/>
      <c r="AV22" s="122">
        <v>262</v>
      </c>
      <c r="AW22" s="400">
        <v>34425</v>
      </c>
      <c r="AX22" s="401"/>
      <c r="AY22" s="122">
        <v>32</v>
      </c>
      <c r="AZ22" s="179">
        <v>2860</v>
      </c>
      <c r="BA22" s="401"/>
      <c r="BB22" s="122">
        <v>41</v>
      </c>
      <c r="BC22" s="400">
        <v>3685</v>
      </c>
      <c r="BD22" s="401"/>
      <c r="BE22" s="122">
        <v>439</v>
      </c>
      <c r="BF22" s="179">
        <v>40597.39</v>
      </c>
      <c r="BG22" s="429">
        <v>26</v>
      </c>
      <c r="BH22" s="430">
        <v>2424.7399999999998</v>
      </c>
      <c r="BI22" s="429">
        <v>15</v>
      </c>
      <c r="BJ22" s="430">
        <v>1398.1</v>
      </c>
      <c r="BK22" s="402" t="s">
        <v>816</v>
      </c>
    </row>
    <row r="23" spans="1:63" ht="55.15" customHeight="1" x14ac:dyDescent="0.2">
      <c r="A23" s="403" t="s">
        <v>10</v>
      </c>
      <c r="B23" s="247"/>
      <c r="C23" s="395" t="s">
        <v>418</v>
      </c>
      <c r="D23" s="247"/>
      <c r="E23" s="396" t="s">
        <v>817</v>
      </c>
      <c r="F23" s="397"/>
      <c r="G23" s="396" t="s">
        <v>431</v>
      </c>
      <c r="H23" s="397"/>
      <c r="I23" s="395" t="s">
        <v>432</v>
      </c>
      <c r="J23" s="398"/>
      <c r="K23" s="395" t="s">
        <v>409</v>
      </c>
      <c r="L23" s="398"/>
      <c r="M23" s="395" t="s">
        <v>421</v>
      </c>
      <c r="N23" s="398"/>
      <c r="O23" s="410" t="s">
        <v>521</v>
      </c>
      <c r="P23" s="399" t="s">
        <v>433</v>
      </c>
      <c r="Q23" s="178" t="s">
        <v>360</v>
      </c>
      <c r="R23" s="178"/>
      <c r="S23" s="179">
        <v>55256</v>
      </c>
      <c r="T23" s="178"/>
      <c r="U23" s="177">
        <v>109</v>
      </c>
      <c r="V23" s="178"/>
      <c r="W23" s="179">
        <v>54200</v>
      </c>
      <c r="X23" s="178"/>
      <c r="Y23" s="178">
        <v>110</v>
      </c>
      <c r="Z23" s="178"/>
      <c r="AA23" s="179">
        <v>59875</v>
      </c>
      <c r="AB23" s="178"/>
      <c r="AC23" s="177">
        <v>110</v>
      </c>
      <c r="AD23" s="178"/>
      <c r="AE23" s="179">
        <v>57325</v>
      </c>
      <c r="AF23" s="177">
        <v>189</v>
      </c>
      <c r="AG23" s="178"/>
      <c r="AH23" s="179">
        <v>86285</v>
      </c>
      <c r="AI23" s="263"/>
      <c r="AJ23" s="181"/>
      <c r="AK23" s="181"/>
      <c r="AL23" s="181"/>
      <c r="AM23" s="181"/>
      <c r="AO23" s="122">
        <v>140</v>
      </c>
      <c r="AP23" s="398"/>
      <c r="AQ23" s="179">
        <v>67937</v>
      </c>
      <c r="AR23" s="395">
        <v>140</v>
      </c>
      <c r="AS23" s="398"/>
      <c r="AT23" s="400">
        <v>118937</v>
      </c>
      <c r="AU23" s="401"/>
      <c r="AV23" s="122">
        <v>236</v>
      </c>
      <c r="AW23" s="400">
        <v>63310</v>
      </c>
      <c r="AX23" s="401"/>
      <c r="AY23" s="122">
        <v>231</v>
      </c>
      <c r="AZ23" s="179">
        <v>55250</v>
      </c>
      <c r="BA23" s="401"/>
      <c r="BB23" s="122">
        <v>101</v>
      </c>
      <c r="BC23" s="400">
        <v>46250</v>
      </c>
      <c r="BD23" s="401"/>
      <c r="BE23" s="122">
        <v>105</v>
      </c>
      <c r="BF23" s="179">
        <v>47450</v>
      </c>
      <c r="BG23" s="429">
        <v>110</v>
      </c>
      <c r="BH23" s="430">
        <v>54600</v>
      </c>
      <c r="BI23" s="429">
        <v>101</v>
      </c>
      <c r="BJ23" s="430">
        <v>56560</v>
      </c>
      <c r="BK23" s="402" t="s">
        <v>816</v>
      </c>
    </row>
    <row r="24" spans="1:63" ht="55.15" customHeight="1" x14ac:dyDescent="0.2">
      <c r="A24" s="403" t="s">
        <v>10</v>
      </c>
      <c r="B24" s="247"/>
      <c r="C24" s="395" t="s">
        <v>418</v>
      </c>
      <c r="D24" s="247"/>
      <c r="E24" s="396" t="s">
        <v>434</v>
      </c>
      <c r="F24" s="397"/>
      <c r="G24" s="181"/>
      <c r="H24" s="397"/>
      <c r="I24" s="395" t="s">
        <v>435</v>
      </c>
      <c r="J24" s="398"/>
      <c r="K24" s="395" t="s">
        <v>409</v>
      </c>
      <c r="L24" s="398"/>
      <c r="M24" s="395" t="s">
        <v>421</v>
      </c>
      <c r="N24" s="398"/>
      <c r="O24" s="410" t="s">
        <v>521</v>
      </c>
      <c r="P24" s="399" t="s">
        <v>433</v>
      </c>
      <c r="Q24" s="178" t="s">
        <v>360</v>
      </c>
      <c r="R24" s="178"/>
      <c r="S24" s="179" t="s">
        <v>370</v>
      </c>
      <c r="T24" s="178"/>
      <c r="U24" s="177"/>
      <c r="V24" s="178"/>
      <c r="W24" s="179" t="s">
        <v>628</v>
      </c>
      <c r="X24" s="178"/>
      <c r="Y24" s="177" t="s">
        <v>360</v>
      </c>
      <c r="Z24" s="178"/>
      <c r="AA24" s="179" t="s">
        <v>628</v>
      </c>
      <c r="AB24" s="178"/>
      <c r="AC24" s="177" t="s">
        <v>360</v>
      </c>
      <c r="AD24" s="178"/>
      <c r="AE24" s="179" t="s">
        <v>628</v>
      </c>
      <c r="AF24" s="177" t="s">
        <v>360</v>
      </c>
      <c r="AG24" s="178"/>
      <c r="AH24" s="179" t="s">
        <v>628</v>
      </c>
      <c r="AI24" s="263"/>
      <c r="AJ24" s="181"/>
      <c r="AK24" s="181"/>
      <c r="AL24" s="181"/>
      <c r="AM24" s="181"/>
      <c r="AO24" s="122" t="s">
        <v>360</v>
      </c>
      <c r="AP24" s="398"/>
      <c r="AQ24" s="179" t="s">
        <v>370</v>
      </c>
      <c r="AR24" s="395"/>
      <c r="AS24" s="398"/>
      <c r="AT24" s="400" t="s">
        <v>370</v>
      </c>
      <c r="AU24" s="401"/>
      <c r="AV24" s="122" t="s">
        <v>360</v>
      </c>
      <c r="AW24" s="400" t="s">
        <v>628</v>
      </c>
      <c r="AX24" s="401"/>
      <c r="AY24" s="122" t="s">
        <v>360</v>
      </c>
      <c r="AZ24" s="179" t="s">
        <v>628</v>
      </c>
      <c r="BA24" s="401"/>
      <c r="BB24" s="122" t="s">
        <v>360</v>
      </c>
      <c r="BC24" s="400" t="s">
        <v>628</v>
      </c>
      <c r="BD24" s="401"/>
      <c r="BE24" s="122" t="s">
        <v>360</v>
      </c>
      <c r="BF24" s="179" t="s">
        <v>628</v>
      </c>
      <c r="BG24" s="429" t="s">
        <v>628</v>
      </c>
      <c r="BH24" s="430" t="s">
        <v>628</v>
      </c>
      <c r="BI24" s="429" t="s">
        <v>628</v>
      </c>
      <c r="BJ24" s="430" t="s">
        <v>628</v>
      </c>
      <c r="BK24" s="402" t="s">
        <v>816</v>
      </c>
    </row>
    <row r="25" spans="1:63" ht="55.15" customHeight="1" x14ac:dyDescent="0.2">
      <c r="A25" s="403" t="s">
        <v>10</v>
      </c>
      <c r="B25" s="247"/>
      <c r="C25" s="395" t="s">
        <v>418</v>
      </c>
      <c r="D25" s="247"/>
      <c r="E25" s="396" t="s">
        <v>436</v>
      </c>
      <c r="F25" s="397"/>
      <c r="G25" s="396" t="s">
        <v>431</v>
      </c>
      <c r="H25" s="397"/>
      <c r="I25" s="405">
        <v>100</v>
      </c>
      <c r="J25" s="398"/>
      <c r="K25" s="395" t="s">
        <v>409</v>
      </c>
      <c r="L25" s="398"/>
      <c r="M25" s="395" t="s">
        <v>421</v>
      </c>
      <c r="N25" s="398"/>
      <c r="O25" s="410" t="s">
        <v>521</v>
      </c>
      <c r="P25" s="399" t="s">
        <v>437</v>
      </c>
      <c r="Q25" s="178" t="s">
        <v>360</v>
      </c>
      <c r="R25" s="178"/>
      <c r="S25" s="179" t="s">
        <v>370</v>
      </c>
      <c r="T25" s="178"/>
      <c r="U25" s="177"/>
      <c r="V25" s="178"/>
      <c r="W25" s="179" t="s">
        <v>628</v>
      </c>
      <c r="X25" s="178"/>
      <c r="Y25" s="177" t="s">
        <v>360</v>
      </c>
      <c r="Z25" s="178"/>
      <c r="AA25" s="179" t="s">
        <v>628</v>
      </c>
      <c r="AB25" s="178"/>
      <c r="AC25" s="177" t="s">
        <v>360</v>
      </c>
      <c r="AD25" s="178"/>
      <c r="AE25" s="179" t="s">
        <v>628</v>
      </c>
      <c r="AF25" s="177" t="s">
        <v>360</v>
      </c>
      <c r="AG25" s="178"/>
      <c r="AH25" s="179" t="s">
        <v>628</v>
      </c>
      <c r="AI25" s="263"/>
      <c r="AJ25" s="181"/>
      <c r="AK25" s="181"/>
      <c r="AL25" s="181"/>
      <c r="AM25" s="181"/>
      <c r="AO25" s="122" t="s">
        <v>360</v>
      </c>
      <c r="AP25" s="398"/>
      <c r="AQ25" s="179" t="s">
        <v>370</v>
      </c>
      <c r="AR25" s="395"/>
      <c r="AS25" s="398"/>
      <c r="AT25" s="400" t="s">
        <v>370</v>
      </c>
      <c r="AU25" s="401"/>
      <c r="AV25" s="122" t="s">
        <v>360</v>
      </c>
      <c r="AW25" s="400" t="s">
        <v>628</v>
      </c>
      <c r="AX25" s="401"/>
      <c r="AY25" s="122" t="s">
        <v>360</v>
      </c>
      <c r="AZ25" s="179" t="s">
        <v>628</v>
      </c>
      <c r="BA25" s="401"/>
      <c r="BB25" s="122" t="s">
        <v>360</v>
      </c>
      <c r="BC25" s="400" t="s">
        <v>628</v>
      </c>
      <c r="BD25" s="401"/>
      <c r="BE25" s="122" t="s">
        <v>360</v>
      </c>
      <c r="BF25" s="179" t="s">
        <v>628</v>
      </c>
      <c r="BG25" s="429" t="s">
        <v>360</v>
      </c>
      <c r="BH25" s="430" t="s">
        <v>360</v>
      </c>
      <c r="BI25" s="429" t="s">
        <v>360</v>
      </c>
      <c r="BJ25" s="430" t="s">
        <v>360</v>
      </c>
      <c r="BK25" s="402" t="s">
        <v>816</v>
      </c>
    </row>
    <row r="26" spans="1:63" ht="55.15" customHeight="1" x14ac:dyDescent="0.2">
      <c r="A26" s="403" t="s">
        <v>10</v>
      </c>
      <c r="B26" s="247"/>
      <c r="C26" s="395" t="s">
        <v>418</v>
      </c>
      <c r="D26" s="247"/>
      <c r="E26" s="396" t="s">
        <v>727</v>
      </c>
      <c r="F26" s="397"/>
      <c r="G26" s="396" t="s">
        <v>431</v>
      </c>
      <c r="H26" s="397"/>
      <c r="I26" s="405">
        <v>50</v>
      </c>
      <c r="J26" s="398"/>
      <c r="K26" s="395" t="s">
        <v>409</v>
      </c>
      <c r="L26" s="398"/>
      <c r="M26" s="395" t="s">
        <v>421</v>
      </c>
      <c r="N26" s="398"/>
      <c r="O26" s="410" t="s">
        <v>521</v>
      </c>
      <c r="P26" s="399" t="s">
        <v>433</v>
      </c>
      <c r="Q26" s="178"/>
      <c r="R26" s="178"/>
      <c r="S26" s="179"/>
      <c r="T26" s="178"/>
      <c r="U26" s="177"/>
      <c r="V26" s="178"/>
      <c r="W26" s="179"/>
      <c r="X26" s="178"/>
      <c r="Y26" s="177" t="s">
        <v>360</v>
      </c>
      <c r="Z26" s="178"/>
      <c r="AA26" s="179" t="s">
        <v>628</v>
      </c>
      <c r="AB26" s="178"/>
      <c r="AC26" s="177" t="s">
        <v>360</v>
      </c>
      <c r="AD26" s="178"/>
      <c r="AE26" s="179" t="s">
        <v>628</v>
      </c>
      <c r="AF26" s="177" t="s">
        <v>360</v>
      </c>
      <c r="AG26" s="178"/>
      <c r="AH26" s="179" t="s">
        <v>628</v>
      </c>
      <c r="AI26" s="263"/>
      <c r="AJ26" s="181"/>
      <c r="AK26" s="181"/>
      <c r="AL26" s="181"/>
      <c r="AM26" s="181"/>
      <c r="AO26" s="122" t="s">
        <v>360</v>
      </c>
      <c r="AP26" s="398"/>
      <c r="AQ26" s="179" t="s">
        <v>370</v>
      </c>
      <c r="AR26" s="395"/>
      <c r="AS26" s="398"/>
      <c r="AT26" s="400" t="s">
        <v>370</v>
      </c>
      <c r="AU26" s="401"/>
      <c r="AV26" s="122" t="s">
        <v>360</v>
      </c>
      <c r="AW26" s="400" t="s">
        <v>628</v>
      </c>
      <c r="AX26" s="401"/>
      <c r="AY26" s="122" t="s">
        <v>360</v>
      </c>
      <c r="AZ26" s="179" t="s">
        <v>628</v>
      </c>
      <c r="BA26" s="401"/>
      <c r="BB26" s="122" t="s">
        <v>360</v>
      </c>
      <c r="BC26" s="400" t="s">
        <v>628</v>
      </c>
      <c r="BD26" s="401"/>
      <c r="BE26" s="122" t="s">
        <v>360</v>
      </c>
      <c r="BF26" s="179" t="s">
        <v>628</v>
      </c>
      <c r="BG26" s="429" t="s">
        <v>628</v>
      </c>
      <c r="BH26" s="430" t="s">
        <v>628</v>
      </c>
      <c r="BI26" s="429" t="s">
        <v>628</v>
      </c>
      <c r="BJ26" s="430" t="s">
        <v>628</v>
      </c>
      <c r="BK26" s="402" t="s">
        <v>816</v>
      </c>
    </row>
    <row r="27" spans="1:63" ht="55.15" customHeight="1" x14ac:dyDescent="0.2">
      <c r="A27" s="411" t="s">
        <v>10</v>
      </c>
      <c r="B27" s="412"/>
      <c r="C27" s="413" t="s">
        <v>418</v>
      </c>
      <c r="D27" s="412"/>
      <c r="E27" s="408" t="s">
        <v>818</v>
      </c>
      <c r="F27" s="414"/>
      <c r="G27" s="408" t="s">
        <v>728</v>
      </c>
      <c r="H27" s="414"/>
      <c r="I27" s="415">
        <v>200</v>
      </c>
      <c r="J27" s="414"/>
      <c r="K27" s="413" t="s">
        <v>729</v>
      </c>
      <c r="L27" s="414"/>
      <c r="M27" s="413" t="s">
        <v>421</v>
      </c>
      <c r="N27" s="414"/>
      <c r="O27" s="416" t="s">
        <v>521</v>
      </c>
      <c r="P27" s="417" t="s">
        <v>730</v>
      </c>
      <c r="Q27" s="182"/>
      <c r="R27" s="182"/>
      <c r="S27" s="183"/>
      <c r="T27" s="182"/>
      <c r="U27" s="182"/>
      <c r="V27" s="182"/>
      <c r="W27" s="183"/>
      <c r="X27" s="182"/>
      <c r="Y27" s="182" t="s">
        <v>360</v>
      </c>
      <c r="Z27" s="182"/>
      <c r="AA27" s="183">
        <v>14212.1</v>
      </c>
      <c r="AB27" s="182"/>
      <c r="AC27" s="177" t="s">
        <v>360</v>
      </c>
      <c r="AD27" s="182"/>
      <c r="AE27" s="183">
        <v>52625</v>
      </c>
      <c r="AF27" s="182" t="s">
        <v>360</v>
      </c>
      <c r="AG27" s="182"/>
      <c r="AH27" s="183" t="s">
        <v>370</v>
      </c>
      <c r="AJ27" s="181"/>
      <c r="AK27" s="181"/>
      <c r="AL27" s="181"/>
      <c r="AM27" s="181"/>
      <c r="AO27" s="122" t="s">
        <v>360</v>
      </c>
      <c r="AP27" s="414"/>
      <c r="AQ27" s="183" t="s">
        <v>370</v>
      </c>
      <c r="AR27" s="413" t="s">
        <v>360</v>
      </c>
      <c r="AS27" s="414"/>
      <c r="AT27" s="400" t="s">
        <v>370</v>
      </c>
      <c r="AU27" s="401"/>
      <c r="AV27" s="122">
        <v>332</v>
      </c>
      <c r="AW27" s="400">
        <v>65410</v>
      </c>
      <c r="AX27" s="401"/>
      <c r="AY27" s="122">
        <v>148</v>
      </c>
      <c r="AZ27" s="179">
        <v>31400</v>
      </c>
      <c r="BA27" s="401"/>
      <c r="BB27" s="122">
        <v>535</v>
      </c>
      <c r="BC27" s="400">
        <v>97195</v>
      </c>
      <c r="BD27" s="401"/>
      <c r="BE27" s="122">
        <v>418</v>
      </c>
      <c r="BF27" s="179">
        <v>73447</v>
      </c>
      <c r="BG27" s="429">
        <v>297</v>
      </c>
      <c r="BH27" s="430">
        <v>66160</v>
      </c>
      <c r="BI27" s="429">
        <v>164</v>
      </c>
      <c r="BJ27" s="430">
        <v>40780</v>
      </c>
      <c r="BK27" s="402" t="s">
        <v>816</v>
      </c>
    </row>
    <row r="28" spans="1:63" ht="55.15" customHeight="1" x14ac:dyDescent="0.2">
      <c r="A28" s="411" t="s">
        <v>10</v>
      </c>
      <c r="B28" s="412"/>
      <c r="C28" s="413" t="s">
        <v>418</v>
      </c>
      <c r="D28" s="412"/>
      <c r="E28" s="408" t="s">
        <v>731</v>
      </c>
      <c r="F28" s="414"/>
      <c r="G28" s="408" t="s">
        <v>728</v>
      </c>
      <c r="H28" s="414"/>
      <c r="I28" s="415">
        <v>25</v>
      </c>
      <c r="J28" s="414"/>
      <c r="K28" s="413" t="s">
        <v>425</v>
      </c>
      <c r="L28" s="414"/>
      <c r="M28" s="413" t="s">
        <v>421</v>
      </c>
      <c r="N28" s="414"/>
      <c r="O28" s="416" t="s">
        <v>521</v>
      </c>
      <c r="P28" s="417" t="s">
        <v>730</v>
      </c>
      <c r="Q28" s="182"/>
      <c r="R28" s="182"/>
      <c r="S28" s="183"/>
      <c r="T28" s="182"/>
      <c r="U28" s="182"/>
      <c r="V28" s="182"/>
      <c r="W28" s="183"/>
      <c r="X28" s="182"/>
      <c r="Y28" s="182" t="s">
        <v>360</v>
      </c>
      <c r="Z28" s="182"/>
      <c r="AA28" s="183" t="s">
        <v>370</v>
      </c>
      <c r="AB28" s="182"/>
      <c r="AC28" s="182" t="s">
        <v>360</v>
      </c>
      <c r="AD28" s="182"/>
      <c r="AE28" s="183" t="s">
        <v>370</v>
      </c>
      <c r="AF28" s="182" t="s">
        <v>360</v>
      </c>
      <c r="AG28" s="182"/>
      <c r="AH28" s="183" t="s">
        <v>370</v>
      </c>
      <c r="AJ28" s="181"/>
      <c r="AK28" s="181"/>
      <c r="AL28" s="181"/>
      <c r="AM28" s="181"/>
      <c r="AO28" s="418" t="s">
        <v>360</v>
      </c>
      <c r="AP28" s="414"/>
      <c r="AQ28" s="183" t="s">
        <v>370</v>
      </c>
      <c r="AR28" s="413" t="s">
        <v>360</v>
      </c>
      <c r="AS28" s="414"/>
      <c r="AT28" s="400" t="s">
        <v>370</v>
      </c>
      <c r="AU28" s="401"/>
      <c r="AV28" s="122" t="s">
        <v>360</v>
      </c>
      <c r="AW28" s="400" t="s">
        <v>628</v>
      </c>
      <c r="AX28" s="401"/>
      <c r="AY28" s="122" t="s">
        <v>360</v>
      </c>
      <c r="AZ28" s="179" t="s">
        <v>628</v>
      </c>
      <c r="BA28" s="401"/>
      <c r="BB28" s="122" t="s">
        <v>360</v>
      </c>
      <c r="BC28" s="400" t="s">
        <v>628</v>
      </c>
      <c r="BD28" s="401"/>
      <c r="BE28" s="122" t="s">
        <v>360</v>
      </c>
      <c r="BF28" s="179" t="s">
        <v>628</v>
      </c>
      <c r="BG28" s="429" t="s">
        <v>360</v>
      </c>
      <c r="BH28" s="430" t="s">
        <v>360</v>
      </c>
      <c r="BI28" s="429" t="s">
        <v>360</v>
      </c>
      <c r="BJ28" s="430" t="s">
        <v>360</v>
      </c>
      <c r="BK28" s="402" t="s">
        <v>816</v>
      </c>
    </row>
    <row r="29" spans="1:63" ht="55.15" customHeight="1" x14ac:dyDescent="0.2">
      <c r="A29" s="411" t="s">
        <v>10</v>
      </c>
      <c r="B29" s="412"/>
      <c r="C29" s="413" t="s">
        <v>418</v>
      </c>
      <c r="D29" s="412"/>
      <c r="E29" s="408" t="s">
        <v>732</v>
      </c>
      <c r="F29" s="414"/>
      <c r="G29" s="408" t="s">
        <v>728</v>
      </c>
      <c r="H29" s="414"/>
      <c r="I29" s="415">
        <v>25</v>
      </c>
      <c r="J29" s="414"/>
      <c r="K29" s="413" t="s">
        <v>729</v>
      </c>
      <c r="L29" s="414"/>
      <c r="M29" s="413" t="s">
        <v>421</v>
      </c>
      <c r="N29" s="414"/>
      <c r="O29" s="416" t="s">
        <v>521</v>
      </c>
      <c r="P29" s="417" t="s">
        <v>730</v>
      </c>
      <c r="Q29" s="182"/>
      <c r="R29" s="182"/>
      <c r="S29" s="183"/>
      <c r="T29" s="182"/>
      <c r="U29" s="182"/>
      <c r="V29" s="182"/>
      <c r="W29" s="183"/>
      <c r="X29" s="182"/>
      <c r="Y29" s="182" t="s">
        <v>360</v>
      </c>
      <c r="Z29" s="182"/>
      <c r="AA29" s="183" t="s">
        <v>370</v>
      </c>
      <c r="AB29" s="182"/>
      <c r="AC29" s="182" t="s">
        <v>360</v>
      </c>
      <c r="AD29" s="182"/>
      <c r="AE29" s="183" t="s">
        <v>370</v>
      </c>
      <c r="AF29" s="182" t="s">
        <v>360</v>
      </c>
      <c r="AG29" s="182"/>
      <c r="AH29" s="183" t="s">
        <v>370</v>
      </c>
      <c r="AJ29" s="181"/>
      <c r="AK29" s="181"/>
      <c r="AL29" s="181"/>
      <c r="AM29" s="181"/>
      <c r="AO29" s="418" t="s">
        <v>360</v>
      </c>
      <c r="AP29" s="414"/>
      <c r="AQ29" s="183" t="s">
        <v>370</v>
      </c>
      <c r="AR29" s="413" t="s">
        <v>360</v>
      </c>
      <c r="AS29" s="414"/>
      <c r="AT29" s="400" t="s">
        <v>370</v>
      </c>
      <c r="AU29" s="401"/>
      <c r="AV29" s="122" t="s">
        <v>360</v>
      </c>
      <c r="AW29" s="400" t="s">
        <v>628</v>
      </c>
      <c r="AX29" s="401"/>
      <c r="AY29" s="122" t="s">
        <v>360</v>
      </c>
      <c r="AZ29" s="179" t="s">
        <v>628</v>
      </c>
      <c r="BA29" s="401"/>
      <c r="BB29" s="122" t="s">
        <v>360</v>
      </c>
      <c r="BC29" s="400" t="s">
        <v>628</v>
      </c>
      <c r="BD29" s="401"/>
      <c r="BE29" s="122" t="s">
        <v>360</v>
      </c>
      <c r="BF29" s="179" t="s">
        <v>628</v>
      </c>
      <c r="BG29" s="429" t="s">
        <v>628</v>
      </c>
      <c r="BH29" s="430" t="s">
        <v>628</v>
      </c>
      <c r="BI29" s="429" t="s">
        <v>628</v>
      </c>
      <c r="BJ29" s="430" t="s">
        <v>628</v>
      </c>
      <c r="BK29" s="402" t="s">
        <v>816</v>
      </c>
    </row>
    <row r="30" spans="1:63" ht="55.15" customHeight="1" x14ac:dyDescent="0.2">
      <c r="A30" s="411" t="s">
        <v>10</v>
      </c>
      <c r="B30" s="412"/>
      <c r="C30" s="413" t="s">
        <v>418</v>
      </c>
      <c r="D30" s="412"/>
      <c r="E30" s="408" t="s">
        <v>733</v>
      </c>
      <c r="F30" s="414"/>
      <c r="G30" s="408" t="s">
        <v>728</v>
      </c>
      <c r="H30" s="414"/>
      <c r="I30" s="415">
        <v>100</v>
      </c>
      <c r="J30" s="414"/>
      <c r="K30" s="413" t="s">
        <v>729</v>
      </c>
      <c r="L30" s="414"/>
      <c r="M30" s="413" t="s">
        <v>421</v>
      </c>
      <c r="N30" s="414"/>
      <c r="O30" s="416" t="s">
        <v>521</v>
      </c>
      <c r="P30" s="417" t="s">
        <v>730</v>
      </c>
      <c r="Q30" s="182"/>
      <c r="R30" s="182"/>
      <c r="S30" s="183"/>
      <c r="T30" s="182"/>
      <c r="U30" s="182"/>
      <c r="V30" s="182"/>
      <c r="W30" s="183"/>
      <c r="X30" s="182"/>
      <c r="Y30" s="182" t="s">
        <v>360</v>
      </c>
      <c r="Z30" s="182"/>
      <c r="AA30" s="183" t="s">
        <v>370</v>
      </c>
      <c r="AB30" s="182"/>
      <c r="AC30" s="182" t="s">
        <v>360</v>
      </c>
      <c r="AD30" s="182"/>
      <c r="AE30" s="183" t="s">
        <v>370</v>
      </c>
      <c r="AF30" s="182" t="s">
        <v>360</v>
      </c>
      <c r="AG30" s="182"/>
      <c r="AH30" s="183" t="s">
        <v>370</v>
      </c>
      <c r="AJ30" s="181"/>
      <c r="AK30" s="181"/>
      <c r="AL30" s="181"/>
      <c r="AM30" s="181"/>
      <c r="AO30" s="418" t="s">
        <v>360</v>
      </c>
      <c r="AP30" s="414"/>
      <c r="AQ30" s="183" t="s">
        <v>370</v>
      </c>
      <c r="AR30" s="413" t="s">
        <v>360</v>
      </c>
      <c r="AS30" s="414"/>
      <c r="AT30" s="400" t="s">
        <v>370</v>
      </c>
      <c r="AU30" s="401"/>
      <c r="AV30" s="122">
        <v>28</v>
      </c>
      <c r="AW30" s="400">
        <v>3750</v>
      </c>
      <c r="AX30" s="401"/>
      <c r="AY30" s="122">
        <v>18</v>
      </c>
      <c r="AZ30" s="179">
        <v>1900</v>
      </c>
      <c r="BA30" s="401"/>
      <c r="BB30" s="122">
        <v>62</v>
      </c>
      <c r="BC30" s="400">
        <v>10110</v>
      </c>
      <c r="BD30" s="401"/>
      <c r="BE30" s="122">
        <v>130</v>
      </c>
      <c r="BF30" s="179">
        <v>19217</v>
      </c>
      <c r="BG30" s="429">
        <v>25</v>
      </c>
      <c r="BH30" s="430">
        <v>4500</v>
      </c>
      <c r="BI30" s="429">
        <v>34</v>
      </c>
      <c r="BJ30" s="430">
        <v>4400</v>
      </c>
      <c r="BK30" s="402" t="s">
        <v>816</v>
      </c>
    </row>
    <row r="31" spans="1:63" ht="55.15" customHeight="1" x14ac:dyDescent="0.2">
      <c r="A31" s="411" t="s">
        <v>10</v>
      </c>
      <c r="B31" s="412"/>
      <c r="C31" s="413" t="s">
        <v>418</v>
      </c>
      <c r="D31" s="412"/>
      <c r="E31" s="408" t="s">
        <v>734</v>
      </c>
      <c r="F31" s="414"/>
      <c r="G31" s="408" t="s">
        <v>728</v>
      </c>
      <c r="H31" s="414"/>
      <c r="I31" s="415">
        <v>50</v>
      </c>
      <c r="J31" s="414"/>
      <c r="K31" s="413" t="s">
        <v>425</v>
      </c>
      <c r="L31" s="414"/>
      <c r="M31" s="413" t="s">
        <v>421</v>
      </c>
      <c r="N31" s="414"/>
      <c r="O31" s="416" t="s">
        <v>521</v>
      </c>
      <c r="P31" s="417" t="s">
        <v>735</v>
      </c>
      <c r="Q31" s="182"/>
      <c r="R31" s="182"/>
      <c r="S31" s="183"/>
      <c r="T31" s="182"/>
      <c r="U31" s="182"/>
      <c r="V31" s="182"/>
      <c r="W31" s="183"/>
      <c r="X31" s="182"/>
      <c r="Y31" s="182" t="s">
        <v>360</v>
      </c>
      <c r="Z31" s="182"/>
      <c r="AA31" s="183" t="s">
        <v>370</v>
      </c>
      <c r="AB31" s="182"/>
      <c r="AC31" s="182" t="s">
        <v>360</v>
      </c>
      <c r="AD31" s="182"/>
      <c r="AE31" s="183" t="s">
        <v>370</v>
      </c>
      <c r="AF31" s="182" t="s">
        <v>360</v>
      </c>
      <c r="AG31" s="182"/>
      <c r="AH31" s="183" t="s">
        <v>370</v>
      </c>
      <c r="AJ31" s="181"/>
      <c r="AK31" s="181"/>
      <c r="AL31" s="181"/>
      <c r="AM31" s="181"/>
      <c r="AO31" s="418" t="s">
        <v>360</v>
      </c>
      <c r="AP31" s="414"/>
      <c r="AQ31" s="183" t="s">
        <v>370</v>
      </c>
      <c r="AR31" s="413" t="s">
        <v>360</v>
      </c>
      <c r="AS31" s="414"/>
      <c r="AT31" s="400" t="s">
        <v>370</v>
      </c>
      <c r="AU31" s="401"/>
      <c r="AV31" s="122" t="s">
        <v>360</v>
      </c>
      <c r="AW31" s="400" t="s">
        <v>628</v>
      </c>
      <c r="AX31" s="401"/>
      <c r="AY31" s="122" t="s">
        <v>360</v>
      </c>
      <c r="AZ31" s="179" t="s">
        <v>628</v>
      </c>
      <c r="BA31" s="401"/>
      <c r="BB31" s="122" t="s">
        <v>360</v>
      </c>
      <c r="BC31" s="400" t="s">
        <v>628</v>
      </c>
      <c r="BD31" s="401"/>
      <c r="BE31" s="122" t="s">
        <v>360</v>
      </c>
      <c r="BF31" s="179" t="s">
        <v>628</v>
      </c>
      <c r="BG31" s="429" t="s">
        <v>360</v>
      </c>
      <c r="BH31" s="430" t="s">
        <v>360</v>
      </c>
      <c r="BI31" s="429" t="s">
        <v>360</v>
      </c>
      <c r="BJ31" s="430" t="s">
        <v>360</v>
      </c>
      <c r="BK31" s="402" t="s">
        <v>816</v>
      </c>
    </row>
    <row r="32" spans="1:63" ht="55.15" customHeight="1" x14ac:dyDescent="0.2">
      <c r="A32" s="411" t="s">
        <v>10</v>
      </c>
      <c r="B32" s="412"/>
      <c r="C32" s="413" t="s">
        <v>418</v>
      </c>
      <c r="D32" s="412"/>
      <c r="E32" s="408" t="s">
        <v>819</v>
      </c>
      <c r="F32" s="414"/>
      <c r="G32" s="408" t="s">
        <v>431</v>
      </c>
      <c r="H32" s="414"/>
      <c r="I32" s="415">
        <v>300</v>
      </c>
      <c r="J32" s="414"/>
      <c r="K32" s="413" t="s">
        <v>724</v>
      </c>
      <c r="L32" s="414"/>
      <c r="M32" s="413" t="s">
        <v>421</v>
      </c>
      <c r="N32" s="414"/>
      <c r="O32" s="416" t="s">
        <v>736</v>
      </c>
      <c r="P32" s="417" t="s">
        <v>737</v>
      </c>
      <c r="Q32" s="182"/>
      <c r="R32" s="182"/>
      <c r="S32" s="183"/>
      <c r="T32" s="182"/>
      <c r="U32" s="182"/>
      <c r="V32" s="182"/>
      <c r="W32" s="183"/>
      <c r="X32" s="182"/>
      <c r="Y32" s="182">
        <v>170</v>
      </c>
      <c r="Z32" s="182"/>
      <c r="AA32" s="183">
        <v>87705</v>
      </c>
      <c r="AB32" s="182"/>
      <c r="AC32" s="182">
        <v>70</v>
      </c>
      <c r="AD32" s="182"/>
      <c r="AE32" s="183">
        <v>33900</v>
      </c>
      <c r="AF32" s="182">
        <v>46</v>
      </c>
      <c r="AG32" s="182"/>
      <c r="AH32" s="184">
        <v>15410</v>
      </c>
      <c r="AJ32" s="181"/>
      <c r="AK32" s="181"/>
      <c r="AL32" s="181"/>
      <c r="AM32" s="181"/>
      <c r="AO32" s="418">
        <v>31</v>
      </c>
      <c r="AP32" s="414"/>
      <c r="AQ32" s="183">
        <v>56567</v>
      </c>
      <c r="AR32" s="413">
        <v>40</v>
      </c>
      <c r="AS32" s="414"/>
      <c r="AT32" s="400">
        <v>87401</v>
      </c>
      <c r="AU32" s="401"/>
      <c r="AV32" s="122">
        <v>91</v>
      </c>
      <c r="AW32" s="400">
        <v>17395</v>
      </c>
      <c r="AX32" s="401"/>
      <c r="AY32" s="122">
        <v>128</v>
      </c>
      <c r="AZ32" s="179">
        <v>26310</v>
      </c>
      <c r="BA32" s="401"/>
      <c r="BB32" s="122">
        <v>82</v>
      </c>
      <c r="BC32" s="400">
        <v>27135</v>
      </c>
      <c r="BD32" s="401"/>
      <c r="BE32" s="122">
        <v>52</v>
      </c>
      <c r="BF32" s="179">
        <v>21530</v>
      </c>
      <c r="BG32" s="429">
        <v>63</v>
      </c>
      <c r="BH32" s="430">
        <v>24780</v>
      </c>
      <c r="BI32" s="429">
        <v>82</v>
      </c>
      <c r="BJ32" s="430">
        <v>36735</v>
      </c>
      <c r="BK32" s="402" t="s">
        <v>816</v>
      </c>
    </row>
    <row r="33" spans="1:63" ht="55.15" customHeight="1" x14ac:dyDescent="0.2">
      <c r="A33" s="411" t="s">
        <v>10</v>
      </c>
      <c r="B33" s="412"/>
      <c r="C33" s="413" t="s">
        <v>418</v>
      </c>
      <c r="D33" s="412"/>
      <c r="E33" s="408" t="s">
        <v>738</v>
      </c>
      <c r="F33" s="414"/>
      <c r="G33" s="408" t="s">
        <v>431</v>
      </c>
      <c r="H33" s="414"/>
      <c r="I33" s="415">
        <v>50</v>
      </c>
      <c r="J33" s="414"/>
      <c r="K33" s="413" t="s">
        <v>724</v>
      </c>
      <c r="L33" s="414"/>
      <c r="M33" s="413" t="s">
        <v>421</v>
      </c>
      <c r="N33" s="414"/>
      <c r="O33" s="419">
        <v>2013</v>
      </c>
      <c r="P33" s="417" t="s">
        <v>737</v>
      </c>
      <c r="Q33" s="182"/>
      <c r="R33" s="182"/>
      <c r="S33" s="183"/>
      <c r="T33" s="182"/>
      <c r="U33" s="182"/>
      <c r="V33" s="182"/>
      <c r="W33" s="183"/>
      <c r="X33" s="182"/>
      <c r="Y33" s="182" t="s">
        <v>360</v>
      </c>
      <c r="Z33" s="182"/>
      <c r="AA33" s="183" t="s">
        <v>370</v>
      </c>
      <c r="AB33" s="182"/>
      <c r="AC33" s="182" t="s">
        <v>360</v>
      </c>
      <c r="AD33" s="182"/>
      <c r="AE33" s="183" t="s">
        <v>370</v>
      </c>
      <c r="AF33" s="182" t="s">
        <v>360</v>
      </c>
      <c r="AG33" s="182"/>
      <c r="AH33" s="183" t="s">
        <v>370</v>
      </c>
      <c r="AJ33" s="181"/>
      <c r="AK33" s="181"/>
      <c r="AO33" s="418" t="s">
        <v>360</v>
      </c>
      <c r="AP33" s="414"/>
      <c r="AQ33" s="183" t="s">
        <v>370</v>
      </c>
      <c r="AR33" s="413" t="s">
        <v>360</v>
      </c>
      <c r="AS33" s="414"/>
      <c r="AT33" s="400" t="s">
        <v>370</v>
      </c>
      <c r="AU33" s="401"/>
      <c r="AV33" s="122" t="s">
        <v>360</v>
      </c>
      <c r="AW33" s="400" t="s">
        <v>628</v>
      </c>
      <c r="AX33" s="401"/>
      <c r="AY33" s="122" t="s">
        <v>360</v>
      </c>
      <c r="AZ33" s="179" t="s">
        <v>628</v>
      </c>
      <c r="BA33" s="401"/>
      <c r="BB33" s="122" t="s">
        <v>360</v>
      </c>
      <c r="BC33" s="400" t="s">
        <v>628</v>
      </c>
      <c r="BD33" s="401"/>
      <c r="BE33" s="122" t="s">
        <v>360</v>
      </c>
      <c r="BF33" s="179" t="s">
        <v>628</v>
      </c>
      <c r="BG33" s="429" t="s">
        <v>628</v>
      </c>
      <c r="BH33" s="430" t="s">
        <v>628</v>
      </c>
      <c r="BI33" s="429" t="s">
        <v>628</v>
      </c>
      <c r="BJ33" s="430" t="s">
        <v>628</v>
      </c>
      <c r="BK33" s="402" t="s">
        <v>816</v>
      </c>
    </row>
    <row r="34" spans="1:63" ht="55.15" customHeight="1" x14ac:dyDescent="0.2">
      <c r="A34" s="411" t="s">
        <v>10</v>
      </c>
      <c r="B34" s="412"/>
      <c r="C34" s="413" t="s">
        <v>418</v>
      </c>
      <c r="D34" s="412"/>
      <c r="E34" s="408" t="s">
        <v>739</v>
      </c>
      <c r="F34" s="414"/>
      <c r="G34" s="408" t="s">
        <v>431</v>
      </c>
      <c r="H34" s="414"/>
      <c r="I34" s="415">
        <v>100</v>
      </c>
      <c r="J34" s="414"/>
      <c r="K34" s="413" t="s">
        <v>425</v>
      </c>
      <c r="L34" s="414"/>
      <c r="M34" s="413" t="s">
        <v>421</v>
      </c>
      <c r="N34" s="414"/>
      <c r="O34" s="419">
        <v>2013</v>
      </c>
      <c r="P34" s="417" t="s">
        <v>737</v>
      </c>
      <c r="Q34" s="182"/>
      <c r="R34" s="182"/>
      <c r="S34" s="183"/>
      <c r="T34" s="182"/>
      <c r="U34" s="182"/>
      <c r="V34" s="182"/>
      <c r="W34" s="183"/>
      <c r="X34" s="182"/>
      <c r="Y34" s="182" t="s">
        <v>360</v>
      </c>
      <c r="Z34" s="182"/>
      <c r="AA34" s="183" t="s">
        <v>370</v>
      </c>
      <c r="AB34" s="182"/>
      <c r="AC34" s="182" t="s">
        <v>360</v>
      </c>
      <c r="AD34" s="182"/>
      <c r="AE34" s="183" t="s">
        <v>370</v>
      </c>
      <c r="AF34" s="182" t="s">
        <v>360</v>
      </c>
      <c r="AG34" s="182"/>
      <c r="AH34" s="183" t="s">
        <v>370</v>
      </c>
      <c r="AJ34" s="181"/>
      <c r="AK34" s="181"/>
      <c r="AO34" s="418" t="s">
        <v>360</v>
      </c>
      <c r="AP34" s="414"/>
      <c r="AQ34" s="183" t="s">
        <v>370</v>
      </c>
      <c r="AR34" s="413" t="s">
        <v>360</v>
      </c>
      <c r="AS34" s="414"/>
      <c r="AT34" s="400" t="s">
        <v>370</v>
      </c>
      <c r="AU34" s="401"/>
      <c r="AV34" s="122" t="s">
        <v>360</v>
      </c>
      <c r="AW34" s="400" t="s">
        <v>628</v>
      </c>
      <c r="AX34" s="401"/>
      <c r="AY34" s="122" t="s">
        <v>360</v>
      </c>
      <c r="AZ34" s="179" t="s">
        <v>628</v>
      </c>
      <c r="BA34" s="401"/>
      <c r="BB34" s="122" t="s">
        <v>360</v>
      </c>
      <c r="BC34" s="400" t="s">
        <v>628</v>
      </c>
      <c r="BD34" s="401"/>
      <c r="BE34" s="122" t="s">
        <v>360</v>
      </c>
      <c r="BF34" s="179" t="s">
        <v>628</v>
      </c>
      <c r="BG34" s="429" t="s">
        <v>360</v>
      </c>
      <c r="BH34" s="430" t="s">
        <v>360</v>
      </c>
      <c r="BI34" s="429" t="s">
        <v>360</v>
      </c>
      <c r="BJ34" s="430" t="s">
        <v>360</v>
      </c>
      <c r="BK34" s="402" t="s">
        <v>816</v>
      </c>
    </row>
    <row r="35" spans="1:63" ht="55.15" customHeight="1" x14ac:dyDescent="0.2">
      <c r="A35" s="411" t="s">
        <v>10</v>
      </c>
      <c r="B35" s="412"/>
      <c r="C35" s="413" t="s">
        <v>418</v>
      </c>
      <c r="D35" s="412"/>
      <c r="E35" s="408" t="s">
        <v>740</v>
      </c>
      <c r="F35" s="414"/>
      <c r="G35" s="408" t="s">
        <v>431</v>
      </c>
      <c r="H35" s="414"/>
      <c r="I35" s="415">
        <v>50</v>
      </c>
      <c r="J35" s="414"/>
      <c r="K35" s="413" t="s">
        <v>724</v>
      </c>
      <c r="L35" s="414"/>
      <c r="M35" s="413" t="s">
        <v>421</v>
      </c>
      <c r="N35" s="414"/>
      <c r="O35" s="419">
        <v>2013</v>
      </c>
      <c r="P35" s="417" t="s">
        <v>737</v>
      </c>
      <c r="Q35" s="182"/>
      <c r="R35" s="182"/>
      <c r="S35" s="183"/>
      <c r="T35" s="182"/>
      <c r="U35" s="182"/>
      <c r="V35" s="182"/>
      <c r="W35" s="183"/>
      <c r="X35" s="182"/>
      <c r="Y35" s="182" t="s">
        <v>360</v>
      </c>
      <c r="Z35" s="182"/>
      <c r="AA35" s="183" t="s">
        <v>370</v>
      </c>
      <c r="AB35" s="182"/>
      <c r="AC35" s="182" t="s">
        <v>360</v>
      </c>
      <c r="AD35" s="182"/>
      <c r="AE35" s="183" t="s">
        <v>370</v>
      </c>
      <c r="AF35" s="182" t="s">
        <v>360</v>
      </c>
      <c r="AG35" s="182"/>
      <c r="AH35" s="183" t="s">
        <v>370</v>
      </c>
      <c r="AJ35" s="181"/>
      <c r="AK35" s="181"/>
      <c r="AO35" s="418" t="s">
        <v>360</v>
      </c>
      <c r="AP35" s="414"/>
      <c r="AQ35" s="183" t="s">
        <v>370</v>
      </c>
      <c r="AR35" s="413" t="s">
        <v>360</v>
      </c>
      <c r="AS35" s="414"/>
      <c r="AT35" s="400" t="s">
        <v>370</v>
      </c>
      <c r="AU35" s="401"/>
      <c r="AV35" s="122" t="s">
        <v>360</v>
      </c>
      <c r="AW35" s="400" t="s">
        <v>628</v>
      </c>
      <c r="AX35" s="401"/>
      <c r="AY35" s="122" t="s">
        <v>360</v>
      </c>
      <c r="AZ35" s="179" t="s">
        <v>628</v>
      </c>
      <c r="BA35" s="401"/>
      <c r="BB35" s="122" t="s">
        <v>360</v>
      </c>
      <c r="BC35" s="400" t="s">
        <v>628</v>
      </c>
      <c r="BD35" s="401"/>
      <c r="BE35" s="122" t="s">
        <v>360</v>
      </c>
      <c r="BF35" s="179" t="s">
        <v>628</v>
      </c>
      <c r="BG35" s="429" t="s">
        <v>628</v>
      </c>
      <c r="BH35" s="430" t="s">
        <v>628</v>
      </c>
      <c r="BI35" s="429" t="s">
        <v>628</v>
      </c>
      <c r="BJ35" s="430" t="s">
        <v>628</v>
      </c>
      <c r="BK35" s="402" t="s">
        <v>816</v>
      </c>
    </row>
    <row r="36" spans="1:63" ht="55.15" customHeight="1" x14ac:dyDescent="0.2">
      <c r="A36" s="411" t="s">
        <v>10</v>
      </c>
      <c r="B36" s="412"/>
      <c r="C36" s="413" t="s">
        <v>418</v>
      </c>
      <c r="D36" s="412"/>
      <c r="E36" s="408" t="s">
        <v>820</v>
      </c>
      <c r="F36" s="414"/>
      <c r="G36" s="408" t="s">
        <v>728</v>
      </c>
      <c r="H36" s="414"/>
      <c r="I36" s="415">
        <v>150</v>
      </c>
      <c r="J36" s="414"/>
      <c r="K36" s="413" t="s">
        <v>724</v>
      </c>
      <c r="L36" s="414"/>
      <c r="M36" s="413" t="s">
        <v>421</v>
      </c>
      <c r="N36" s="414"/>
      <c r="O36" s="416" t="s">
        <v>736</v>
      </c>
      <c r="P36" s="417" t="s">
        <v>737</v>
      </c>
      <c r="Q36" s="182"/>
      <c r="R36" s="182"/>
      <c r="S36" s="183"/>
      <c r="T36" s="182"/>
      <c r="U36" s="182"/>
      <c r="V36" s="182"/>
      <c r="W36" s="183"/>
      <c r="X36" s="182"/>
      <c r="Y36" s="182" t="s">
        <v>360</v>
      </c>
      <c r="Z36" s="182"/>
      <c r="AA36" s="183" t="s">
        <v>370</v>
      </c>
      <c r="AB36" s="182"/>
      <c r="AC36" s="182" t="s">
        <v>360</v>
      </c>
      <c r="AD36" s="182"/>
      <c r="AE36" s="183" t="s">
        <v>370</v>
      </c>
      <c r="AF36" s="182" t="s">
        <v>360</v>
      </c>
      <c r="AG36" s="182"/>
      <c r="AH36" s="183" t="s">
        <v>370</v>
      </c>
      <c r="AJ36" s="181"/>
      <c r="AK36" s="181"/>
      <c r="AO36" s="418">
        <v>174</v>
      </c>
      <c r="AP36" s="414"/>
      <c r="AQ36" s="183" t="s">
        <v>370</v>
      </c>
      <c r="AR36" s="413">
        <v>247</v>
      </c>
      <c r="AS36" s="414"/>
      <c r="AT36" s="400" t="s">
        <v>370</v>
      </c>
      <c r="AU36" s="401"/>
      <c r="AV36" s="122">
        <v>223</v>
      </c>
      <c r="AW36" s="400">
        <v>43670</v>
      </c>
      <c r="AX36" s="401"/>
      <c r="AY36" s="122">
        <v>217</v>
      </c>
      <c r="AZ36" s="179">
        <v>46335</v>
      </c>
      <c r="BA36" s="401"/>
      <c r="BB36" s="122">
        <v>321</v>
      </c>
      <c r="BC36" s="400">
        <v>56120</v>
      </c>
      <c r="BD36" s="401"/>
      <c r="BE36" s="122">
        <v>467</v>
      </c>
      <c r="BF36" s="179">
        <v>70027</v>
      </c>
      <c r="BG36" s="429">
        <v>206</v>
      </c>
      <c r="BH36" s="430">
        <v>51165</v>
      </c>
      <c r="BI36" s="429">
        <v>229</v>
      </c>
      <c r="BJ36" s="430">
        <v>53620</v>
      </c>
      <c r="BK36" s="402" t="s">
        <v>816</v>
      </c>
    </row>
    <row r="37" spans="1:63" ht="55.15" customHeight="1" x14ac:dyDescent="0.2">
      <c r="A37" s="411" t="s">
        <v>10</v>
      </c>
      <c r="B37" s="412"/>
      <c r="C37" s="413" t="s">
        <v>418</v>
      </c>
      <c r="D37" s="412"/>
      <c r="E37" s="408" t="s">
        <v>741</v>
      </c>
      <c r="F37" s="414"/>
      <c r="G37" s="408" t="s">
        <v>728</v>
      </c>
      <c r="H37" s="414"/>
      <c r="I37" s="415">
        <v>50</v>
      </c>
      <c r="J37" s="414"/>
      <c r="K37" s="413" t="s">
        <v>425</v>
      </c>
      <c r="L37" s="414"/>
      <c r="M37" s="413" t="s">
        <v>421</v>
      </c>
      <c r="N37" s="414"/>
      <c r="O37" s="419">
        <v>2013</v>
      </c>
      <c r="P37" s="417" t="s">
        <v>737</v>
      </c>
      <c r="Q37" s="182"/>
      <c r="R37" s="182"/>
      <c r="S37" s="183"/>
      <c r="T37" s="182"/>
      <c r="U37" s="182"/>
      <c r="V37" s="182"/>
      <c r="W37" s="183"/>
      <c r="X37" s="182"/>
      <c r="Y37" s="182" t="s">
        <v>360</v>
      </c>
      <c r="Z37" s="182"/>
      <c r="AA37" s="183" t="s">
        <v>370</v>
      </c>
      <c r="AB37" s="182"/>
      <c r="AC37" s="182" t="s">
        <v>360</v>
      </c>
      <c r="AD37" s="182"/>
      <c r="AE37" s="183" t="s">
        <v>370</v>
      </c>
      <c r="AF37" s="182" t="s">
        <v>360</v>
      </c>
      <c r="AG37" s="182"/>
      <c r="AH37" s="183" t="s">
        <v>370</v>
      </c>
      <c r="AJ37" s="181"/>
      <c r="AK37" s="181"/>
      <c r="AO37" s="418" t="s">
        <v>360</v>
      </c>
      <c r="AP37" s="414"/>
      <c r="AQ37" s="183" t="s">
        <v>370</v>
      </c>
      <c r="AR37" s="413" t="s">
        <v>360</v>
      </c>
      <c r="AS37" s="414"/>
      <c r="AT37" s="400" t="s">
        <v>370</v>
      </c>
      <c r="AU37" s="401"/>
      <c r="AV37" s="122" t="s">
        <v>360</v>
      </c>
      <c r="AW37" s="400" t="s">
        <v>628</v>
      </c>
      <c r="AX37" s="401"/>
      <c r="AY37" s="122" t="s">
        <v>360</v>
      </c>
      <c r="AZ37" s="179" t="s">
        <v>628</v>
      </c>
      <c r="BA37" s="401"/>
      <c r="BB37" s="122" t="s">
        <v>360</v>
      </c>
      <c r="BC37" s="400" t="s">
        <v>628</v>
      </c>
      <c r="BD37" s="401"/>
      <c r="BE37" s="122" t="s">
        <v>360</v>
      </c>
      <c r="BF37" s="179" t="s">
        <v>628</v>
      </c>
      <c r="BG37" s="429" t="s">
        <v>360</v>
      </c>
      <c r="BH37" s="430" t="s">
        <v>360</v>
      </c>
      <c r="BI37" s="429" t="s">
        <v>360</v>
      </c>
      <c r="BJ37" s="430" t="s">
        <v>360</v>
      </c>
      <c r="BK37" s="402" t="s">
        <v>816</v>
      </c>
    </row>
    <row r="38" spans="1:63" ht="55.15" customHeight="1" x14ac:dyDescent="0.2">
      <c r="A38" s="411" t="s">
        <v>10</v>
      </c>
      <c r="B38" s="412"/>
      <c r="C38" s="413" t="s">
        <v>418</v>
      </c>
      <c r="D38" s="412"/>
      <c r="E38" s="408" t="s">
        <v>742</v>
      </c>
      <c r="F38" s="414"/>
      <c r="G38" s="408" t="s">
        <v>728</v>
      </c>
      <c r="H38" s="414"/>
      <c r="I38" s="415">
        <v>25</v>
      </c>
      <c r="J38" s="414"/>
      <c r="K38" s="413" t="s">
        <v>724</v>
      </c>
      <c r="L38" s="414"/>
      <c r="M38" s="413" t="s">
        <v>421</v>
      </c>
      <c r="N38" s="414"/>
      <c r="O38" s="419">
        <v>2013</v>
      </c>
      <c r="P38" s="417" t="s">
        <v>737</v>
      </c>
      <c r="Q38" s="182"/>
      <c r="R38" s="182"/>
      <c r="S38" s="183"/>
      <c r="T38" s="182"/>
      <c r="U38" s="182"/>
      <c r="V38" s="182"/>
      <c r="W38" s="183"/>
      <c r="X38" s="182"/>
      <c r="Y38" s="182" t="s">
        <v>360</v>
      </c>
      <c r="Z38" s="182"/>
      <c r="AA38" s="183" t="s">
        <v>370</v>
      </c>
      <c r="AB38" s="182"/>
      <c r="AC38" s="182" t="s">
        <v>360</v>
      </c>
      <c r="AD38" s="182"/>
      <c r="AE38" s="183" t="s">
        <v>370</v>
      </c>
      <c r="AF38" s="182" t="s">
        <v>360</v>
      </c>
      <c r="AG38" s="182"/>
      <c r="AH38" s="183" t="s">
        <v>370</v>
      </c>
      <c r="AJ38" s="181"/>
      <c r="AK38" s="181"/>
      <c r="AO38" s="418" t="s">
        <v>360</v>
      </c>
      <c r="AP38" s="414"/>
      <c r="AQ38" s="183" t="s">
        <v>370</v>
      </c>
      <c r="AR38" s="413" t="s">
        <v>360</v>
      </c>
      <c r="AS38" s="414"/>
      <c r="AT38" s="400" t="s">
        <v>370</v>
      </c>
      <c r="AU38" s="401"/>
      <c r="AV38" s="122" t="s">
        <v>360</v>
      </c>
      <c r="AW38" s="400" t="s">
        <v>628</v>
      </c>
      <c r="AX38" s="401"/>
      <c r="AY38" s="122" t="s">
        <v>360</v>
      </c>
      <c r="AZ38" s="179" t="s">
        <v>628</v>
      </c>
      <c r="BA38" s="401"/>
      <c r="BB38" s="122" t="s">
        <v>360</v>
      </c>
      <c r="BC38" s="400" t="s">
        <v>628</v>
      </c>
      <c r="BD38" s="401"/>
      <c r="BE38" s="122" t="s">
        <v>360</v>
      </c>
      <c r="BF38" s="179" t="s">
        <v>628</v>
      </c>
      <c r="BG38" s="429" t="s">
        <v>628</v>
      </c>
      <c r="BH38" s="430" t="s">
        <v>628</v>
      </c>
      <c r="BI38" s="429" t="s">
        <v>628</v>
      </c>
      <c r="BJ38" s="430" t="s">
        <v>628</v>
      </c>
      <c r="BK38" s="402" t="s">
        <v>816</v>
      </c>
    </row>
    <row r="39" spans="1:63" ht="55.15" customHeight="1" x14ac:dyDescent="0.2">
      <c r="A39" s="411" t="s">
        <v>10</v>
      </c>
      <c r="B39" s="412"/>
      <c r="C39" s="413" t="s">
        <v>418</v>
      </c>
      <c r="D39" s="412"/>
      <c r="E39" s="408" t="s">
        <v>743</v>
      </c>
      <c r="F39" s="414"/>
      <c r="G39" s="408" t="s">
        <v>728</v>
      </c>
      <c r="H39" s="414"/>
      <c r="I39" s="415">
        <v>50</v>
      </c>
      <c r="J39" s="414"/>
      <c r="K39" s="413" t="s">
        <v>409</v>
      </c>
      <c r="L39" s="414"/>
      <c r="M39" s="413" t="s">
        <v>421</v>
      </c>
      <c r="N39" s="414"/>
      <c r="O39" s="419">
        <v>2013</v>
      </c>
      <c r="P39" s="417" t="s">
        <v>737</v>
      </c>
      <c r="Q39" s="182"/>
      <c r="R39" s="182"/>
      <c r="S39" s="183"/>
      <c r="T39" s="182"/>
      <c r="U39" s="182"/>
      <c r="V39" s="182"/>
      <c r="W39" s="183"/>
      <c r="X39" s="182"/>
      <c r="Y39" s="182" t="s">
        <v>360</v>
      </c>
      <c r="Z39" s="182"/>
      <c r="AA39" s="183" t="s">
        <v>370</v>
      </c>
      <c r="AB39" s="182"/>
      <c r="AC39" s="182" t="s">
        <v>360</v>
      </c>
      <c r="AD39" s="182"/>
      <c r="AE39" s="183" t="s">
        <v>370</v>
      </c>
      <c r="AF39" s="182" t="s">
        <v>360</v>
      </c>
      <c r="AG39" s="182"/>
      <c r="AH39" s="183" t="s">
        <v>370</v>
      </c>
      <c r="AJ39" s="181"/>
      <c r="AK39" s="181"/>
      <c r="AO39" s="418" t="s">
        <v>360</v>
      </c>
      <c r="AP39" s="414"/>
      <c r="AQ39" s="183" t="s">
        <v>370</v>
      </c>
      <c r="AR39" s="413" t="s">
        <v>360</v>
      </c>
      <c r="AS39" s="414"/>
      <c r="AT39" s="400" t="s">
        <v>370</v>
      </c>
      <c r="AU39" s="401"/>
      <c r="AV39" s="122">
        <v>71</v>
      </c>
      <c r="AW39" s="400">
        <v>4565</v>
      </c>
      <c r="AX39" s="401"/>
      <c r="AY39" s="122">
        <v>69</v>
      </c>
      <c r="AZ39" s="179">
        <v>7510</v>
      </c>
      <c r="BA39" s="401"/>
      <c r="BB39" s="122">
        <v>122</v>
      </c>
      <c r="BC39" s="400">
        <v>13710</v>
      </c>
      <c r="BD39" s="401"/>
      <c r="BE39" s="122">
        <v>111</v>
      </c>
      <c r="BF39" s="179">
        <v>13945</v>
      </c>
      <c r="BG39" s="429">
        <v>46</v>
      </c>
      <c r="BH39" s="430">
        <v>3705</v>
      </c>
      <c r="BI39" s="429">
        <v>55</v>
      </c>
      <c r="BJ39" s="430">
        <v>5150</v>
      </c>
      <c r="BK39" s="402" t="s">
        <v>816</v>
      </c>
    </row>
    <row r="40" spans="1:63" ht="55.15" customHeight="1" x14ac:dyDescent="0.2">
      <c r="A40" s="403" t="s">
        <v>10</v>
      </c>
      <c r="B40" s="247"/>
      <c r="C40" s="395" t="s">
        <v>418</v>
      </c>
      <c r="D40" s="247"/>
      <c r="E40" s="396" t="s">
        <v>855</v>
      </c>
      <c r="F40" s="397"/>
      <c r="G40" s="396" t="s">
        <v>438</v>
      </c>
      <c r="H40" s="397"/>
      <c r="I40" s="405" t="s">
        <v>853</v>
      </c>
      <c r="J40" s="398"/>
      <c r="K40" s="395" t="s">
        <v>439</v>
      </c>
      <c r="L40" s="398"/>
      <c r="M40" s="395" t="s">
        <v>429</v>
      </c>
      <c r="N40" s="398"/>
      <c r="O40" s="410" t="s">
        <v>522</v>
      </c>
      <c r="P40" s="399" t="s">
        <v>440</v>
      </c>
      <c r="Q40" s="178" t="s">
        <v>360</v>
      </c>
      <c r="R40" s="178"/>
      <c r="S40" s="179">
        <v>295000</v>
      </c>
      <c r="T40" s="178"/>
      <c r="U40" s="177">
        <v>262</v>
      </c>
      <c r="V40" s="178"/>
      <c r="W40" s="179">
        <v>67760</v>
      </c>
      <c r="X40" s="178"/>
      <c r="Y40" s="178">
        <v>339</v>
      </c>
      <c r="Z40" s="178"/>
      <c r="AA40" s="179">
        <v>386352</v>
      </c>
      <c r="AB40" s="178"/>
      <c r="AC40" s="177">
        <v>326</v>
      </c>
      <c r="AD40" s="178"/>
      <c r="AE40" s="179">
        <v>528410</v>
      </c>
      <c r="AF40" s="177">
        <v>294</v>
      </c>
      <c r="AG40" s="178"/>
      <c r="AH40" s="179">
        <v>485831</v>
      </c>
      <c r="AI40" s="263"/>
      <c r="AJ40" s="181"/>
      <c r="AK40" s="185" t="s">
        <v>430</v>
      </c>
      <c r="AO40" s="122">
        <v>280</v>
      </c>
      <c r="AP40" s="398"/>
      <c r="AQ40" s="179">
        <v>524486</v>
      </c>
      <c r="AR40" s="395">
        <v>233</v>
      </c>
      <c r="AS40" s="398"/>
      <c r="AT40" s="400">
        <v>452017</v>
      </c>
      <c r="AU40" s="401"/>
      <c r="AV40" s="122">
        <v>294</v>
      </c>
      <c r="AW40" s="400">
        <v>355609</v>
      </c>
      <c r="AX40" s="401"/>
      <c r="AY40" s="122">
        <v>233</v>
      </c>
      <c r="AZ40" s="179">
        <v>321803</v>
      </c>
      <c r="BA40" s="401"/>
      <c r="BB40" s="122">
        <v>368</v>
      </c>
      <c r="BC40" s="400">
        <v>214310.82</v>
      </c>
      <c r="BD40" s="401"/>
      <c r="BE40" s="122">
        <v>834</v>
      </c>
      <c r="BF40" s="179">
        <v>251308.85</v>
      </c>
      <c r="BG40" s="429">
        <v>542</v>
      </c>
      <c r="BH40" s="430">
        <v>409441.7</v>
      </c>
      <c r="BI40" s="429">
        <v>483</v>
      </c>
      <c r="BJ40" s="430">
        <v>430267.74</v>
      </c>
      <c r="BK40" s="402" t="s">
        <v>816</v>
      </c>
    </row>
    <row r="41" spans="1:63" ht="62.25" customHeight="1" x14ac:dyDescent="0.2">
      <c r="A41" s="403" t="s">
        <v>10</v>
      </c>
      <c r="B41" s="247"/>
      <c r="C41" s="395" t="s">
        <v>418</v>
      </c>
      <c r="D41" s="247"/>
      <c r="E41" s="396" t="s">
        <v>441</v>
      </c>
      <c r="F41" s="397"/>
      <c r="G41" s="396" t="s">
        <v>438</v>
      </c>
      <c r="H41" s="397"/>
      <c r="I41" s="395" t="s">
        <v>854</v>
      </c>
      <c r="J41" s="398"/>
      <c r="K41" s="395" t="s">
        <v>439</v>
      </c>
      <c r="L41" s="398"/>
      <c r="M41" s="395" t="s">
        <v>429</v>
      </c>
      <c r="N41" s="398"/>
      <c r="O41" s="410" t="s">
        <v>522</v>
      </c>
      <c r="P41" s="399" t="s">
        <v>440</v>
      </c>
      <c r="Q41" s="178" t="s">
        <v>360</v>
      </c>
      <c r="R41" s="178"/>
      <c r="S41" s="179" t="s">
        <v>370</v>
      </c>
      <c r="T41" s="178"/>
      <c r="U41" s="177">
        <v>123</v>
      </c>
      <c r="V41" s="178"/>
      <c r="W41" s="179">
        <v>246000</v>
      </c>
      <c r="X41" s="178"/>
      <c r="Y41" s="177" t="s">
        <v>360</v>
      </c>
      <c r="Z41" s="178"/>
      <c r="AA41" s="179" t="s">
        <v>628</v>
      </c>
      <c r="AB41" s="178"/>
      <c r="AC41" s="177" t="s">
        <v>360</v>
      </c>
      <c r="AD41" s="178"/>
      <c r="AE41" s="179" t="s">
        <v>628</v>
      </c>
      <c r="AF41" s="177" t="s">
        <v>360</v>
      </c>
      <c r="AG41" s="178"/>
      <c r="AH41" s="179" t="s">
        <v>628</v>
      </c>
      <c r="AI41" s="263"/>
      <c r="AJ41" s="181"/>
      <c r="AK41" s="185" t="s">
        <v>430</v>
      </c>
      <c r="AO41" s="122" t="s">
        <v>360</v>
      </c>
      <c r="AP41" s="398"/>
      <c r="AQ41" s="179" t="s">
        <v>370</v>
      </c>
      <c r="AR41" s="395" t="s">
        <v>360</v>
      </c>
      <c r="AS41" s="398"/>
      <c r="AT41" s="400" t="s">
        <v>370</v>
      </c>
      <c r="AU41" s="401"/>
      <c r="AV41" s="122" t="s">
        <v>360</v>
      </c>
      <c r="AW41" s="400" t="s">
        <v>628</v>
      </c>
      <c r="AX41" s="401"/>
      <c r="AY41" s="122" t="s">
        <v>360</v>
      </c>
      <c r="AZ41" s="179" t="s">
        <v>628</v>
      </c>
      <c r="BA41" s="401"/>
      <c r="BB41" s="122" t="s">
        <v>360</v>
      </c>
      <c r="BC41" s="400" t="s">
        <v>628</v>
      </c>
      <c r="BD41" s="401"/>
      <c r="BE41" s="122" t="s">
        <v>360</v>
      </c>
      <c r="BF41" s="179" t="s">
        <v>628</v>
      </c>
      <c r="BG41" s="429" t="s">
        <v>628</v>
      </c>
      <c r="BH41" s="430" t="s">
        <v>628</v>
      </c>
      <c r="BI41" s="429" t="s">
        <v>628</v>
      </c>
      <c r="BJ41" s="430" t="s">
        <v>628</v>
      </c>
      <c r="BK41" s="402" t="s">
        <v>816</v>
      </c>
    </row>
    <row r="42" spans="1:63" ht="55.15" customHeight="1" x14ac:dyDescent="0.2">
      <c r="A42" s="403" t="s">
        <v>10</v>
      </c>
      <c r="B42" s="247"/>
      <c r="C42" s="395" t="s">
        <v>418</v>
      </c>
      <c r="D42" s="247"/>
      <c r="E42" s="396" t="s">
        <v>821</v>
      </c>
      <c r="F42" s="397"/>
      <c r="G42" s="396" t="s">
        <v>438</v>
      </c>
      <c r="H42" s="397"/>
      <c r="I42" s="405">
        <v>100</v>
      </c>
      <c r="J42" s="398"/>
      <c r="K42" s="395" t="s">
        <v>439</v>
      </c>
      <c r="L42" s="398"/>
      <c r="M42" s="395" t="s">
        <v>429</v>
      </c>
      <c r="N42" s="398"/>
      <c r="O42" s="410" t="s">
        <v>522</v>
      </c>
      <c r="P42" s="399" t="s">
        <v>440</v>
      </c>
      <c r="Q42" s="178" t="s">
        <v>360</v>
      </c>
      <c r="R42" s="178"/>
      <c r="S42" s="179">
        <v>65900</v>
      </c>
      <c r="T42" s="178"/>
      <c r="U42" s="177"/>
      <c r="V42" s="178"/>
      <c r="W42" s="179">
        <v>74200</v>
      </c>
      <c r="X42" s="178"/>
      <c r="Y42" s="178">
        <v>167</v>
      </c>
      <c r="Z42" s="178"/>
      <c r="AA42" s="179">
        <v>62503</v>
      </c>
      <c r="AB42" s="178"/>
      <c r="AC42" s="177">
        <v>166</v>
      </c>
      <c r="AD42" s="178"/>
      <c r="AE42" s="179">
        <v>47900</v>
      </c>
      <c r="AF42" s="177">
        <v>146</v>
      </c>
      <c r="AG42" s="178"/>
      <c r="AH42" s="179">
        <v>44700</v>
      </c>
      <c r="AI42" s="263"/>
      <c r="AJ42" s="181"/>
      <c r="AK42" s="185" t="s">
        <v>430</v>
      </c>
      <c r="AO42" s="122">
        <v>125</v>
      </c>
      <c r="AP42" s="398"/>
      <c r="AQ42" s="179">
        <v>37050</v>
      </c>
      <c r="AR42" s="395">
        <v>137</v>
      </c>
      <c r="AS42" s="398"/>
      <c r="AT42" s="400">
        <v>31580</v>
      </c>
      <c r="AU42" s="401"/>
      <c r="AV42" s="122">
        <v>175</v>
      </c>
      <c r="AW42" s="400">
        <v>54200</v>
      </c>
      <c r="AX42" s="401"/>
      <c r="AY42" s="122">
        <v>145</v>
      </c>
      <c r="AZ42" s="179">
        <v>47800</v>
      </c>
      <c r="BA42" s="401"/>
      <c r="BB42" s="122" t="s">
        <v>360</v>
      </c>
      <c r="BC42" s="400" t="s">
        <v>628</v>
      </c>
      <c r="BD42" s="401"/>
      <c r="BE42" s="122" t="s">
        <v>360</v>
      </c>
      <c r="BF42" s="179" t="s">
        <v>628</v>
      </c>
      <c r="BG42" s="429" t="s">
        <v>628</v>
      </c>
      <c r="BH42" s="430" t="s">
        <v>628</v>
      </c>
      <c r="BI42" s="429" t="s">
        <v>628</v>
      </c>
      <c r="BJ42" s="430" t="s">
        <v>628</v>
      </c>
      <c r="BK42" s="402" t="s">
        <v>816</v>
      </c>
    </row>
    <row r="43" spans="1:63" ht="55.15" customHeight="1" x14ac:dyDescent="0.2">
      <c r="A43" s="403" t="s">
        <v>10</v>
      </c>
      <c r="B43" s="247"/>
      <c r="C43" s="395" t="s">
        <v>418</v>
      </c>
      <c r="D43" s="247"/>
      <c r="E43" s="396" t="s">
        <v>744</v>
      </c>
      <c r="F43" s="397"/>
      <c r="G43" s="396" t="s">
        <v>438</v>
      </c>
      <c r="H43" s="397"/>
      <c r="I43" s="405">
        <v>200</v>
      </c>
      <c r="J43" s="398"/>
      <c r="K43" s="395" t="s">
        <v>439</v>
      </c>
      <c r="L43" s="398"/>
      <c r="M43" s="395" t="s">
        <v>429</v>
      </c>
      <c r="N43" s="398"/>
      <c r="O43" s="410" t="s">
        <v>522</v>
      </c>
      <c r="P43" s="399" t="s">
        <v>440</v>
      </c>
      <c r="Q43" s="178"/>
      <c r="R43" s="178"/>
      <c r="S43" s="179" t="s">
        <v>370</v>
      </c>
      <c r="T43" s="178"/>
      <c r="U43" s="177"/>
      <c r="V43" s="178"/>
      <c r="W43" s="179" t="s">
        <v>628</v>
      </c>
      <c r="X43" s="178"/>
      <c r="Y43" s="177" t="s">
        <v>360</v>
      </c>
      <c r="Z43" s="178"/>
      <c r="AA43" s="179" t="s">
        <v>628</v>
      </c>
      <c r="AB43" s="178"/>
      <c r="AC43" s="177" t="s">
        <v>360</v>
      </c>
      <c r="AD43" s="178"/>
      <c r="AE43" s="179" t="s">
        <v>628</v>
      </c>
      <c r="AF43" s="177" t="s">
        <v>360</v>
      </c>
      <c r="AG43" s="178"/>
      <c r="AH43" s="179" t="s">
        <v>628</v>
      </c>
      <c r="AI43" s="263"/>
      <c r="AJ43" s="181"/>
      <c r="AK43" s="181"/>
      <c r="AO43" s="122" t="s">
        <v>360</v>
      </c>
      <c r="AP43" s="398"/>
      <c r="AQ43" s="179" t="s">
        <v>370</v>
      </c>
      <c r="AR43" s="395" t="s">
        <v>360</v>
      </c>
      <c r="AS43" s="398"/>
      <c r="AT43" s="400" t="s">
        <v>370</v>
      </c>
      <c r="AU43" s="401"/>
      <c r="AV43" s="122" t="s">
        <v>360</v>
      </c>
      <c r="AW43" s="400" t="s">
        <v>628</v>
      </c>
      <c r="AX43" s="401"/>
      <c r="AY43" s="122" t="s">
        <v>360</v>
      </c>
      <c r="AZ43" s="179" t="s">
        <v>628</v>
      </c>
      <c r="BA43" s="401"/>
      <c r="BB43" s="122" t="s">
        <v>360</v>
      </c>
      <c r="BC43" s="400" t="s">
        <v>628</v>
      </c>
      <c r="BD43" s="401"/>
      <c r="BE43" s="122" t="s">
        <v>360</v>
      </c>
      <c r="BF43" s="179" t="s">
        <v>628</v>
      </c>
      <c r="BG43" s="429" t="s">
        <v>628</v>
      </c>
      <c r="BH43" s="430" t="s">
        <v>628</v>
      </c>
      <c r="BI43" s="429" t="s">
        <v>628</v>
      </c>
      <c r="BJ43" s="430" t="s">
        <v>628</v>
      </c>
      <c r="BK43" s="402" t="s">
        <v>816</v>
      </c>
    </row>
    <row r="44" spans="1:63" ht="55.15" customHeight="1" x14ac:dyDescent="0.2">
      <c r="A44" s="403" t="s">
        <v>10</v>
      </c>
      <c r="B44" s="247"/>
      <c r="C44" s="395" t="s">
        <v>418</v>
      </c>
      <c r="D44" s="247"/>
      <c r="E44" s="396" t="s">
        <v>442</v>
      </c>
      <c r="F44" s="397"/>
      <c r="G44" s="396" t="s">
        <v>438</v>
      </c>
      <c r="H44" s="397"/>
      <c r="I44" s="405">
        <v>400</v>
      </c>
      <c r="J44" s="398"/>
      <c r="K44" s="395" t="s">
        <v>439</v>
      </c>
      <c r="L44" s="398"/>
      <c r="M44" s="395" t="s">
        <v>429</v>
      </c>
      <c r="N44" s="398"/>
      <c r="O44" s="410" t="s">
        <v>522</v>
      </c>
      <c r="P44" s="399" t="s">
        <v>440</v>
      </c>
      <c r="Q44" s="178"/>
      <c r="R44" s="178"/>
      <c r="S44" s="179" t="s">
        <v>370</v>
      </c>
      <c r="T44" s="178"/>
      <c r="U44" s="177"/>
      <c r="V44" s="178"/>
      <c r="W44" s="179" t="s">
        <v>628</v>
      </c>
      <c r="X44" s="178"/>
      <c r="Y44" s="177" t="s">
        <v>360</v>
      </c>
      <c r="Z44" s="178"/>
      <c r="AA44" s="179" t="s">
        <v>628</v>
      </c>
      <c r="AB44" s="178"/>
      <c r="AC44" s="177" t="s">
        <v>360</v>
      </c>
      <c r="AD44" s="178"/>
      <c r="AE44" s="179" t="s">
        <v>628</v>
      </c>
      <c r="AF44" s="177" t="s">
        <v>360</v>
      </c>
      <c r="AG44" s="178"/>
      <c r="AH44" s="179" t="s">
        <v>628</v>
      </c>
      <c r="AI44" s="263"/>
      <c r="AJ44" s="181"/>
      <c r="AK44" s="181"/>
      <c r="AO44" s="122" t="s">
        <v>360</v>
      </c>
      <c r="AP44" s="398"/>
      <c r="AQ44" s="179" t="s">
        <v>370</v>
      </c>
      <c r="AR44" s="395" t="s">
        <v>360</v>
      </c>
      <c r="AS44" s="398"/>
      <c r="AT44" s="400" t="s">
        <v>370</v>
      </c>
      <c r="AU44" s="401"/>
      <c r="AV44" s="122" t="s">
        <v>360</v>
      </c>
      <c r="AW44" s="400" t="s">
        <v>628</v>
      </c>
      <c r="AX44" s="401"/>
      <c r="AY44" s="122" t="s">
        <v>360</v>
      </c>
      <c r="AZ44" s="179" t="s">
        <v>628</v>
      </c>
      <c r="BA44" s="401"/>
      <c r="BB44" s="122" t="s">
        <v>360</v>
      </c>
      <c r="BC44" s="400" t="s">
        <v>628</v>
      </c>
      <c r="BD44" s="401"/>
      <c r="BE44" s="122" t="s">
        <v>360</v>
      </c>
      <c r="BF44" s="179" t="s">
        <v>628</v>
      </c>
      <c r="BG44" s="429" t="s">
        <v>628</v>
      </c>
      <c r="BH44" s="430" t="s">
        <v>628</v>
      </c>
      <c r="BI44" s="429" t="s">
        <v>628</v>
      </c>
      <c r="BJ44" s="430" t="s">
        <v>628</v>
      </c>
      <c r="BK44" s="402" t="s">
        <v>816</v>
      </c>
    </row>
    <row r="45" spans="1:63" ht="55.15" customHeight="1" x14ac:dyDescent="0.2">
      <c r="A45" s="403" t="s">
        <v>10</v>
      </c>
      <c r="B45" s="247"/>
      <c r="C45" s="395" t="s">
        <v>418</v>
      </c>
      <c r="D45" s="247"/>
      <c r="E45" s="396" t="s">
        <v>822</v>
      </c>
      <c r="F45" s="397"/>
      <c r="G45" s="396" t="s">
        <v>438</v>
      </c>
      <c r="H45" s="397"/>
      <c r="I45" s="405">
        <v>100</v>
      </c>
      <c r="J45" s="398"/>
      <c r="K45" s="395" t="s">
        <v>439</v>
      </c>
      <c r="L45" s="398"/>
      <c r="M45" s="395" t="s">
        <v>429</v>
      </c>
      <c r="N45" s="398"/>
      <c r="O45" s="410" t="s">
        <v>522</v>
      </c>
      <c r="P45" s="399" t="s">
        <v>440</v>
      </c>
      <c r="Q45" s="178"/>
      <c r="R45" s="178"/>
      <c r="S45" s="179">
        <v>52100</v>
      </c>
      <c r="T45" s="178"/>
      <c r="U45" s="177"/>
      <c r="V45" s="178"/>
      <c r="W45" s="179">
        <v>59225</v>
      </c>
      <c r="X45" s="178"/>
      <c r="Y45" s="178">
        <v>223</v>
      </c>
      <c r="Z45" s="178"/>
      <c r="AA45" s="179">
        <v>53300</v>
      </c>
      <c r="AB45" s="178"/>
      <c r="AC45" s="177">
        <v>163</v>
      </c>
      <c r="AD45" s="178"/>
      <c r="AE45" s="179">
        <v>43300</v>
      </c>
      <c r="AF45" s="177">
        <v>186</v>
      </c>
      <c r="AG45" s="178"/>
      <c r="AH45" s="179">
        <v>42620</v>
      </c>
      <c r="AI45" s="263"/>
      <c r="AJ45" s="181"/>
      <c r="AK45" s="181"/>
      <c r="AO45" s="122">
        <v>184</v>
      </c>
      <c r="AP45" s="398"/>
      <c r="AQ45" s="179">
        <v>42162</v>
      </c>
      <c r="AR45" s="395">
        <v>191</v>
      </c>
      <c r="AS45" s="398"/>
      <c r="AT45" s="400">
        <v>43765</v>
      </c>
      <c r="AU45" s="401"/>
      <c r="AV45" s="122">
        <v>253</v>
      </c>
      <c r="AW45" s="400">
        <v>60700</v>
      </c>
      <c r="AX45" s="401"/>
      <c r="AY45" s="122">
        <v>185</v>
      </c>
      <c r="AZ45" s="179">
        <v>46600</v>
      </c>
      <c r="BA45" s="401"/>
      <c r="BB45" s="122" t="s">
        <v>360</v>
      </c>
      <c r="BC45" s="400" t="s">
        <v>628</v>
      </c>
      <c r="BD45" s="401"/>
      <c r="BE45" s="122" t="s">
        <v>360</v>
      </c>
      <c r="BF45" s="179" t="s">
        <v>628</v>
      </c>
      <c r="BG45" s="429" t="s">
        <v>628</v>
      </c>
      <c r="BH45" s="430" t="s">
        <v>628</v>
      </c>
      <c r="BI45" s="429" t="s">
        <v>628</v>
      </c>
      <c r="BJ45" s="430" t="s">
        <v>628</v>
      </c>
      <c r="BK45" s="402" t="s">
        <v>816</v>
      </c>
    </row>
    <row r="46" spans="1:63" ht="55.15" customHeight="1" x14ac:dyDescent="0.2">
      <c r="A46" s="403" t="s">
        <v>10</v>
      </c>
      <c r="B46" s="247"/>
      <c r="C46" s="395" t="s">
        <v>418</v>
      </c>
      <c r="D46" s="247"/>
      <c r="E46" s="396" t="s">
        <v>745</v>
      </c>
      <c r="F46" s="397"/>
      <c r="G46" s="396" t="s">
        <v>438</v>
      </c>
      <c r="H46" s="397"/>
      <c r="I46" s="405">
        <v>200</v>
      </c>
      <c r="J46" s="398"/>
      <c r="K46" s="395" t="s">
        <v>439</v>
      </c>
      <c r="L46" s="398"/>
      <c r="M46" s="395" t="s">
        <v>429</v>
      </c>
      <c r="N46" s="398"/>
      <c r="O46" s="410" t="s">
        <v>522</v>
      </c>
      <c r="P46" s="399" t="s">
        <v>440</v>
      </c>
      <c r="Q46" s="178"/>
      <c r="R46" s="178"/>
      <c r="S46" s="179" t="s">
        <v>370</v>
      </c>
      <c r="T46" s="178"/>
      <c r="U46" s="177"/>
      <c r="V46" s="178"/>
      <c r="W46" s="179" t="s">
        <v>628</v>
      </c>
      <c r="X46" s="178"/>
      <c r="Y46" s="177" t="s">
        <v>360</v>
      </c>
      <c r="Z46" s="178"/>
      <c r="AA46" s="179" t="s">
        <v>628</v>
      </c>
      <c r="AB46" s="178"/>
      <c r="AC46" s="177" t="s">
        <v>360</v>
      </c>
      <c r="AD46" s="178"/>
      <c r="AE46" s="179" t="s">
        <v>628</v>
      </c>
      <c r="AF46" s="177" t="s">
        <v>360</v>
      </c>
      <c r="AG46" s="178"/>
      <c r="AH46" s="179" t="s">
        <v>628</v>
      </c>
      <c r="AI46" s="263"/>
      <c r="AJ46" s="181"/>
      <c r="AK46" s="181"/>
      <c r="AO46" s="122" t="s">
        <v>360</v>
      </c>
      <c r="AP46" s="398"/>
      <c r="AQ46" s="179" t="s">
        <v>370</v>
      </c>
      <c r="AR46" s="395" t="s">
        <v>360</v>
      </c>
      <c r="AS46" s="398"/>
      <c r="AT46" s="400" t="s">
        <v>370</v>
      </c>
      <c r="AU46" s="401"/>
      <c r="AV46" s="122" t="s">
        <v>360</v>
      </c>
      <c r="AW46" s="400" t="s">
        <v>628</v>
      </c>
      <c r="AX46" s="401"/>
      <c r="AY46" s="122" t="s">
        <v>360</v>
      </c>
      <c r="AZ46" s="179" t="s">
        <v>628</v>
      </c>
      <c r="BA46" s="401"/>
      <c r="BB46" s="122" t="s">
        <v>360</v>
      </c>
      <c r="BC46" s="400" t="s">
        <v>628</v>
      </c>
      <c r="BD46" s="401"/>
      <c r="BE46" s="122" t="s">
        <v>360</v>
      </c>
      <c r="BF46" s="179" t="s">
        <v>628</v>
      </c>
      <c r="BG46" s="429" t="s">
        <v>628</v>
      </c>
      <c r="BH46" s="430" t="s">
        <v>628</v>
      </c>
      <c r="BI46" s="429" t="s">
        <v>628</v>
      </c>
      <c r="BJ46" s="430" t="s">
        <v>628</v>
      </c>
      <c r="BK46" s="402" t="s">
        <v>816</v>
      </c>
    </row>
    <row r="47" spans="1:63" ht="55.15" customHeight="1" x14ac:dyDescent="0.2">
      <c r="A47" s="403" t="s">
        <v>10</v>
      </c>
      <c r="B47" s="247"/>
      <c r="C47" s="395" t="s">
        <v>418</v>
      </c>
      <c r="D47" s="247"/>
      <c r="E47" s="396" t="s">
        <v>443</v>
      </c>
      <c r="F47" s="397"/>
      <c r="G47" s="396" t="s">
        <v>438</v>
      </c>
      <c r="H47" s="397"/>
      <c r="I47" s="405">
        <v>400</v>
      </c>
      <c r="J47" s="398"/>
      <c r="K47" s="395" t="s">
        <v>439</v>
      </c>
      <c r="L47" s="398"/>
      <c r="M47" s="395" t="s">
        <v>429</v>
      </c>
      <c r="N47" s="398"/>
      <c r="O47" s="410" t="s">
        <v>522</v>
      </c>
      <c r="P47" s="399" t="s">
        <v>440</v>
      </c>
      <c r="Q47" s="178"/>
      <c r="R47" s="178"/>
      <c r="S47" s="179" t="s">
        <v>370</v>
      </c>
      <c r="T47" s="178"/>
      <c r="U47" s="177"/>
      <c r="V47" s="178"/>
      <c r="W47" s="179" t="s">
        <v>628</v>
      </c>
      <c r="X47" s="178"/>
      <c r="Y47" s="177" t="s">
        <v>360</v>
      </c>
      <c r="Z47" s="178"/>
      <c r="AA47" s="179" t="s">
        <v>628</v>
      </c>
      <c r="AB47" s="178"/>
      <c r="AC47" s="177" t="s">
        <v>360</v>
      </c>
      <c r="AD47" s="178"/>
      <c r="AE47" s="179" t="s">
        <v>628</v>
      </c>
      <c r="AF47" s="177" t="s">
        <v>360</v>
      </c>
      <c r="AG47" s="178"/>
      <c r="AH47" s="179" t="s">
        <v>628</v>
      </c>
      <c r="AI47" s="263"/>
      <c r="AJ47" s="181"/>
      <c r="AK47" s="181"/>
      <c r="AO47" s="122" t="s">
        <v>360</v>
      </c>
      <c r="AP47" s="398"/>
      <c r="AQ47" s="179" t="s">
        <v>370</v>
      </c>
      <c r="AR47" s="395" t="s">
        <v>360</v>
      </c>
      <c r="AS47" s="398"/>
      <c r="AT47" s="400" t="s">
        <v>370</v>
      </c>
      <c r="AU47" s="401"/>
      <c r="AV47" s="122" t="s">
        <v>360</v>
      </c>
      <c r="AW47" s="400" t="s">
        <v>628</v>
      </c>
      <c r="AX47" s="401"/>
      <c r="AY47" s="122" t="s">
        <v>360</v>
      </c>
      <c r="AZ47" s="179" t="s">
        <v>628</v>
      </c>
      <c r="BA47" s="401"/>
      <c r="BB47" s="122" t="s">
        <v>360</v>
      </c>
      <c r="BC47" s="400" t="s">
        <v>628</v>
      </c>
      <c r="BD47" s="401"/>
      <c r="BE47" s="122" t="s">
        <v>360</v>
      </c>
      <c r="BF47" s="179" t="s">
        <v>628</v>
      </c>
      <c r="BG47" s="429" t="s">
        <v>628</v>
      </c>
      <c r="BH47" s="430" t="s">
        <v>628</v>
      </c>
      <c r="BI47" s="429" t="s">
        <v>628</v>
      </c>
      <c r="BJ47" s="430" t="s">
        <v>628</v>
      </c>
      <c r="BK47" s="402" t="s">
        <v>816</v>
      </c>
    </row>
    <row r="48" spans="1:63" ht="55.15" customHeight="1" x14ac:dyDescent="0.2">
      <c r="A48" s="403" t="s">
        <v>10</v>
      </c>
      <c r="B48" s="247"/>
      <c r="C48" s="395" t="s">
        <v>418</v>
      </c>
      <c r="D48" s="247"/>
      <c r="E48" s="396" t="s">
        <v>444</v>
      </c>
      <c r="F48" s="397"/>
      <c r="G48" s="396"/>
      <c r="H48" s="397"/>
      <c r="I48" s="395" t="s">
        <v>445</v>
      </c>
      <c r="J48" s="398"/>
      <c r="K48" s="395" t="s">
        <v>446</v>
      </c>
      <c r="L48" s="398"/>
      <c r="M48" s="395" t="s">
        <v>429</v>
      </c>
      <c r="N48" s="398"/>
      <c r="O48" s="410" t="s">
        <v>521</v>
      </c>
      <c r="P48" s="399" t="s">
        <v>447</v>
      </c>
      <c r="Q48" s="178"/>
      <c r="R48" s="178"/>
      <c r="S48" s="179">
        <v>18887</v>
      </c>
      <c r="T48" s="178"/>
      <c r="U48" s="177">
        <v>18</v>
      </c>
      <c r="V48" s="178"/>
      <c r="W48" s="179">
        <v>13725</v>
      </c>
      <c r="X48" s="178"/>
      <c r="Y48" s="177" t="s">
        <v>360</v>
      </c>
      <c r="Z48" s="178"/>
      <c r="AA48" s="179" t="s">
        <v>628</v>
      </c>
      <c r="AB48" s="178"/>
      <c r="AC48" s="177" t="s">
        <v>360</v>
      </c>
      <c r="AD48" s="178"/>
      <c r="AE48" s="179" t="s">
        <v>628</v>
      </c>
      <c r="AF48" s="177" t="s">
        <v>360</v>
      </c>
      <c r="AG48" s="178"/>
      <c r="AH48" s="179" t="s">
        <v>628</v>
      </c>
      <c r="AI48" s="263"/>
      <c r="AJ48" s="181"/>
      <c r="AK48" s="185" t="s">
        <v>430</v>
      </c>
      <c r="AO48" s="122" t="s">
        <v>360</v>
      </c>
      <c r="AP48" s="398"/>
      <c r="AQ48" s="179" t="s">
        <v>370</v>
      </c>
      <c r="AR48" s="395" t="s">
        <v>360</v>
      </c>
      <c r="AS48" s="398"/>
      <c r="AT48" s="400" t="s">
        <v>370</v>
      </c>
      <c r="AU48" s="401"/>
      <c r="AV48" s="122" t="s">
        <v>360</v>
      </c>
      <c r="AW48" s="400" t="s">
        <v>628</v>
      </c>
      <c r="AX48" s="401"/>
      <c r="AY48" s="122" t="s">
        <v>360</v>
      </c>
      <c r="AZ48" s="179" t="s">
        <v>628</v>
      </c>
      <c r="BA48" s="401"/>
      <c r="BB48" s="122" t="s">
        <v>360</v>
      </c>
      <c r="BC48" s="400" t="s">
        <v>628</v>
      </c>
      <c r="BD48" s="401"/>
      <c r="BE48" s="122" t="s">
        <v>360</v>
      </c>
      <c r="BF48" s="179" t="s">
        <v>628</v>
      </c>
      <c r="BG48" s="429" t="s">
        <v>628</v>
      </c>
      <c r="BH48" s="430" t="s">
        <v>628</v>
      </c>
      <c r="BI48" s="429" t="s">
        <v>628</v>
      </c>
      <c r="BJ48" s="430" t="s">
        <v>628</v>
      </c>
      <c r="BK48" s="402" t="s">
        <v>816</v>
      </c>
    </row>
    <row r="49" spans="1:63" ht="55.15" customHeight="1" x14ac:dyDescent="0.2">
      <c r="A49" s="403" t="s">
        <v>10</v>
      </c>
      <c r="B49" s="247"/>
      <c r="C49" s="395" t="s">
        <v>418</v>
      </c>
      <c r="D49" s="247"/>
      <c r="E49" s="396" t="s">
        <v>448</v>
      </c>
      <c r="F49" s="397"/>
      <c r="G49" s="396"/>
      <c r="H49" s="397"/>
      <c r="I49" s="395">
        <v>900</v>
      </c>
      <c r="J49" s="398"/>
      <c r="K49" s="395" t="s">
        <v>446</v>
      </c>
      <c r="L49" s="398"/>
      <c r="M49" s="395" t="s">
        <v>429</v>
      </c>
      <c r="N49" s="398"/>
      <c r="O49" s="410" t="s">
        <v>521</v>
      </c>
      <c r="P49" s="399" t="s">
        <v>447</v>
      </c>
      <c r="Q49" s="178"/>
      <c r="R49" s="178"/>
      <c r="S49" s="179">
        <v>7200</v>
      </c>
      <c r="T49" s="178"/>
      <c r="U49" s="177">
        <v>11</v>
      </c>
      <c r="V49" s="178"/>
      <c r="W49" s="179">
        <v>9900</v>
      </c>
      <c r="X49" s="178"/>
      <c r="Y49" s="177" t="s">
        <v>360</v>
      </c>
      <c r="Z49" s="178"/>
      <c r="AA49" s="179" t="s">
        <v>628</v>
      </c>
      <c r="AB49" s="178"/>
      <c r="AC49" s="177" t="s">
        <v>360</v>
      </c>
      <c r="AD49" s="178"/>
      <c r="AE49" s="179" t="s">
        <v>628</v>
      </c>
      <c r="AF49" s="177" t="s">
        <v>360</v>
      </c>
      <c r="AG49" s="178"/>
      <c r="AH49" s="179" t="s">
        <v>628</v>
      </c>
      <c r="AI49" s="263"/>
      <c r="AJ49" s="181"/>
      <c r="AK49" s="181"/>
      <c r="AL49" s="181"/>
      <c r="AM49" s="181"/>
      <c r="AN49" s="247"/>
      <c r="AO49" s="122" t="s">
        <v>360</v>
      </c>
      <c r="AP49" s="398"/>
      <c r="AQ49" s="179" t="s">
        <v>370</v>
      </c>
      <c r="AR49" s="395" t="s">
        <v>360</v>
      </c>
      <c r="AS49" s="398"/>
      <c r="AT49" s="400" t="s">
        <v>370</v>
      </c>
      <c r="AU49" s="401"/>
      <c r="AV49" s="122" t="s">
        <v>360</v>
      </c>
      <c r="AW49" s="400" t="s">
        <v>628</v>
      </c>
      <c r="AX49" s="401"/>
      <c r="AY49" s="122" t="s">
        <v>360</v>
      </c>
      <c r="AZ49" s="179" t="s">
        <v>628</v>
      </c>
      <c r="BA49" s="401"/>
      <c r="BB49" s="122" t="s">
        <v>360</v>
      </c>
      <c r="BC49" s="400" t="s">
        <v>628</v>
      </c>
      <c r="BD49" s="401"/>
      <c r="BE49" s="122" t="s">
        <v>360</v>
      </c>
      <c r="BF49" s="179" t="s">
        <v>628</v>
      </c>
      <c r="BG49" s="429" t="s">
        <v>628</v>
      </c>
      <c r="BH49" s="430" t="s">
        <v>628</v>
      </c>
      <c r="BI49" s="429" t="s">
        <v>628</v>
      </c>
      <c r="BJ49" s="430" t="s">
        <v>628</v>
      </c>
      <c r="BK49" s="402" t="s">
        <v>816</v>
      </c>
    </row>
    <row r="50" spans="1:63" ht="55.15" customHeight="1" x14ac:dyDescent="0.2">
      <c r="A50" s="403" t="s">
        <v>10</v>
      </c>
      <c r="B50" s="247"/>
      <c r="C50" s="395" t="s">
        <v>418</v>
      </c>
      <c r="D50" s="247"/>
      <c r="E50" s="396" t="s">
        <v>449</v>
      </c>
      <c r="F50" s="397"/>
      <c r="G50" s="396"/>
      <c r="H50" s="397"/>
      <c r="I50" s="395" t="s">
        <v>445</v>
      </c>
      <c r="J50" s="398"/>
      <c r="K50" s="395" t="s">
        <v>446</v>
      </c>
      <c r="L50" s="398"/>
      <c r="M50" s="395" t="s">
        <v>429</v>
      </c>
      <c r="N50" s="398"/>
      <c r="O50" s="410" t="s">
        <v>521</v>
      </c>
      <c r="P50" s="399" t="s">
        <v>450</v>
      </c>
      <c r="Q50" s="178"/>
      <c r="R50" s="178"/>
      <c r="S50" s="179">
        <v>41928</v>
      </c>
      <c r="T50" s="178"/>
      <c r="U50" s="177">
        <v>110</v>
      </c>
      <c r="V50" s="178"/>
      <c r="W50" s="179">
        <v>72765</v>
      </c>
      <c r="X50" s="178"/>
      <c r="Y50" s="177" t="s">
        <v>360</v>
      </c>
      <c r="Z50" s="178"/>
      <c r="AA50" s="179" t="s">
        <v>628</v>
      </c>
      <c r="AB50" s="178"/>
      <c r="AC50" s="177" t="s">
        <v>360</v>
      </c>
      <c r="AD50" s="178"/>
      <c r="AE50" s="179" t="s">
        <v>628</v>
      </c>
      <c r="AF50" s="177" t="s">
        <v>360</v>
      </c>
      <c r="AG50" s="178"/>
      <c r="AH50" s="179" t="s">
        <v>628</v>
      </c>
      <c r="AI50" s="263"/>
      <c r="AJ50" s="181"/>
      <c r="AK50" s="181"/>
      <c r="AL50" s="181"/>
      <c r="AM50" s="181"/>
      <c r="AN50" s="247"/>
      <c r="AO50" s="122" t="s">
        <v>360</v>
      </c>
      <c r="AP50" s="398"/>
      <c r="AQ50" s="179" t="s">
        <v>370</v>
      </c>
      <c r="AR50" s="395" t="s">
        <v>360</v>
      </c>
      <c r="AS50" s="398"/>
      <c r="AT50" s="400" t="s">
        <v>370</v>
      </c>
      <c r="AU50" s="401"/>
      <c r="AV50" s="122" t="s">
        <v>360</v>
      </c>
      <c r="AW50" s="400" t="s">
        <v>628</v>
      </c>
      <c r="AX50" s="401"/>
      <c r="AY50" s="122" t="s">
        <v>360</v>
      </c>
      <c r="AZ50" s="179" t="s">
        <v>628</v>
      </c>
      <c r="BA50" s="401"/>
      <c r="BB50" s="122" t="s">
        <v>360</v>
      </c>
      <c r="BC50" s="400" t="s">
        <v>628</v>
      </c>
      <c r="BD50" s="401"/>
      <c r="BE50" s="122" t="s">
        <v>360</v>
      </c>
      <c r="BF50" s="179" t="s">
        <v>628</v>
      </c>
      <c r="BG50" s="429" t="s">
        <v>628</v>
      </c>
      <c r="BH50" s="430" t="s">
        <v>628</v>
      </c>
      <c r="BI50" s="429" t="s">
        <v>628</v>
      </c>
      <c r="BJ50" s="430" t="s">
        <v>628</v>
      </c>
      <c r="BK50" s="402" t="s">
        <v>816</v>
      </c>
    </row>
    <row r="51" spans="1:63" ht="55.15" customHeight="1" x14ac:dyDescent="0.2">
      <c r="A51" s="403" t="s">
        <v>10</v>
      </c>
      <c r="B51" s="247"/>
      <c r="C51" s="395" t="s">
        <v>418</v>
      </c>
      <c r="D51" s="247"/>
      <c r="E51" s="396" t="s">
        <v>451</v>
      </c>
      <c r="F51" s="397"/>
      <c r="G51" s="396"/>
      <c r="H51" s="397"/>
      <c r="I51" s="405">
        <v>25</v>
      </c>
      <c r="J51" s="398"/>
      <c r="K51" s="395" t="s">
        <v>446</v>
      </c>
      <c r="L51" s="398"/>
      <c r="M51" s="395" t="s">
        <v>429</v>
      </c>
      <c r="N51" s="398"/>
      <c r="O51" s="177" t="s">
        <v>452</v>
      </c>
      <c r="P51" s="399" t="s">
        <v>453</v>
      </c>
      <c r="Q51" s="178"/>
      <c r="R51" s="178"/>
      <c r="S51" s="179">
        <v>1615</v>
      </c>
      <c r="T51" s="178"/>
      <c r="U51" s="177"/>
      <c r="V51" s="178"/>
      <c r="W51" s="179">
        <v>350</v>
      </c>
      <c r="X51" s="178"/>
      <c r="Y51" s="177" t="s">
        <v>360</v>
      </c>
      <c r="Z51" s="178"/>
      <c r="AA51" s="179" t="s">
        <v>628</v>
      </c>
      <c r="AB51" s="178"/>
      <c r="AC51" s="177" t="s">
        <v>360</v>
      </c>
      <c r="AD51" s="178"/>
      <c r="AE51" s="179" t="s">
        <v>628</v>
      </c>
      <c r="AF51" s="177" t="s">
        <v>360</v>
      </c>
      <c r="AG51" s="178"/>
      <c r="AH51" s="179" t="s">
        <v>628</v>
      </c>
      <c r="AI51" s="263"/>
      <c r="AJ51" s="181"/>
      <c r="AK51" s="185" t="s">
        <v>430</v>
      </c>
      <c r="AL51" s="181"/>
      <c r="AM51" s="181"/>
      <c r="AN51" s="247"/>
      <c r="AO51" s="122" t="s">
        <v>360</v>
      </c>
      <c r="AP51" s="398"/>
      <c r="AQ51" s="179" t="s">
        <v>370</v>
      </c>
      <c r="AR51" s="395" t="s">
        <v>360</v>
      </c>
      <c r="AS51" s="398"/>
      <c r="AT51" s="400" t="s">
        <v>370</v>
      </c>
      <c r="AU51" s="401"/>
      <c r="AV51" s="122" t="s">
        <v>360</v>
      </c>
      <c r="AW51" s="400" t="s">
        <v>628</v>
      </c>
      <c r="AX51" s="401"/>
      <c r="AY51" s="122" t="s">
        <v>360</v>
      </c>
      <c r="AZ51" s="179" t="s">
        <v>628</v>
      </c>
      <c r="BA51" s="401"/>
      <c r="BB51" s="122" t="s">
        <v>360</v>
      </c>
      <c r="BC51" s="400" t="s">
        <v>628</v>
      </c>
      <c r="BD51" s="401"/>
      <c r="BE51" s="122" t="s">
        <v>360</v>
      </c>
      <c r="BF51" s="179" t="s">
        <v>628</v>
      </c>
      <c r="BG51" s="429" t="s">
        <v>628</v>
      </c>
      <c r="BH51" s="430" t="s">
        <v>628</v>
      </c>
      <c r="BI51" s="429" t="s">
        <v>628</v>
      </c>
      <c r="BJ51" s="430" t="s">
        <v>628</v>
      </c>
      <c r="BK51" s="402" t="s">
        <v>816</v>
      </c>
    </row>
    <row r="52" spans="1:63" ht="55.15" customHeight="1" x14ac:dyDescent="0.2">
      <c r="A52" s="403" t="s">
        <v>10</v>
      </c>
      <c r="B52" s="420"/>
      <c r="C52" s="395" t="s">
        <v>418</v>
      </c>
      <c r="D52" s="420"/>
      <c r="E52" s="396" t="s">
        <v>454</v>
      </c>
      <c r="F52" s="397"/>
      <c r="G52" s="396"/>
      <c r="H52" s="397"/>
      <c r="I52" s="405">
        <v>25</v>
      </c>
      <c r="J52" s="398"/>
      <c r="K52" s="395" t="s">
        <v>409</v>
      </c>
      <c r="L52" s="398"/>
      <c r="M52" s="395" t="s">
        <v>421</v>
      </c>
      <c r="N52" s="398"/>
      <c r="O52" s="177" t="s">
        <v>452</v>
      </c>
      <c r="P52" s="399" t="s">
        <v>455</v>
      </c>
      <c r="Q52" s="178"/>
      <c r="R52" s="178"/>
      <c r="S52" s="179">
        <v>31390</v>
      </c>
      <c r="T52" s="178"/>
      <c r="U52" s="177"/>
      <c r="V52" s="178"/>
      <c r="W52" s="179">
        <v>49025</v>
      </c>
      <c r="X52" s="178"/>
      <c r="Y52" s="177" t="s">
        <v>360</v>
      </c>
      <c r="Z52" s="178"/>
      <c r="AA52" s="179">
        <v>18200</v>
      </c>
      <c r="AB52" s="178"/>
      <c r="AC52" s="177" t="s">
        <v>360</v>
      </c>
      <c r="AD52" s="178"/>
      <c r="AE52" s="179">
        <v>33625</v>
      </c>
      <c r="AF52" s="177" t="s">
        <v>360</v>
      </c>
      <c r="AG52" s="178"/>
      <c r="AH52" s="179">
        <v>41125</v>
      </c>
      <c r="AI52" s="264"/>
      <c r="AJ52" s="185"/>
      <c r="AK52" s="185"/>
      <c r="AL52" s="185"/>
      <c r="AM52" s="279"/>
      <c r="AO52" s="122">
        <v>268</v>
      </c>
      <c r="AP52" s="398"/>
      <c r="AQ52" s="179">
        <v>37050</v>
      </c>
      <c r="AR52" s="395">
        <v>190</v>
      </c>
      <c r="AS52" s="398"/>
      <c r="AT52" s="400">
        <v>31580</v>
      </c>
      <c r="AU52" s="401"/>
      <c r="AV52" s="122" t="s">
        <v>360</v>
      </c>
      <c r="AW52" s="400">
        <v>43375</v>
      </c>
      <c r="AX52" s="401"/>
      <c r="AY52" s="122" t="s">
        <v>360</v>
      </c>
      <c r="AZ52" s="179">
        <v>38245</v>
      </c>
      <c r="BA52" s="401"/>
      <c r="BB52" s="122">
        <v>46</v>
      </c>
      <c r="BC52" s="400">
        <v>15700</v>
      </c>
      <c r="BD52" s="401"/>
      <c r="BE52" s="177">
        <v>40</v>
      </c>
      <c r="BF52" s="179">
        <v>15950</v>
      </c>
      <c r="BG52" s="429">
        <v>28</v>
      </c>
      <c r="BH52" s="430">
        <v>19825</v>
      </c>
      <c r="BI52" s="429">
        <v>25</v>
      </c>
      <c r="BJ52" s="430">
        <v>14325</v>
      </c>
      <c r="BK52" s="402" t="s">
        <v>816</v>
      </c>
    </row>
    <row r="53" spans="1:63" ht="55.15" customHeight="1" x14ac:dyDescent="0.2">
      <c r="A53" s="403" t="s">
        <v>10</v>
      </c>
      <c r="B53" s="420"/>
      <c r="C53" s="395" t="s">
        <v>418</v>
      </c>
      <c r="D53" s="420"/>
      <c r="E53" s="396" t="s">
        <v>456</v>
      </c>
      <c r="F53" s="397"/>
      <c r="G53" s="396"/>
      <c r="H53" s="397"/>
      <c r="I53" s="405">
        <v>10</v>
      </c>
      <c r="J53" s="398"/>
      <c r="K53" s="395" t="s">
        <v>409</v>
      </c>
      <c r="L53" s="398"/>
      <c r="M53" s="395" t="s">
        <v>421</v>
      </c>
      <c r="N53" s="398"/>
      <c r="O53" s="177" t="s">
        <v>452</v>
      </c>
      <c r="P53" s="399" t="s">
        <v>455</v>
      </c>
      <c r="Q53" s="178"/>
      <c r="R53" s="178"/>
      <c r="S53" s="179" t="s">
        <v>370</v>
      </c>
      <c r="T53" s="178"/>
      <c r="U53" s="177"/>
      <c r="V53" s="178"/>
      <c r="W53" s="179" t="s">
        <v>628</v>
      </c>
      <c r="X53" s="178"/>
      <c r="Y53" s="177" t="s">
        <v>360</v>
      </c>
      <c r="Z53" s="178"/>
      <c r="AA53" s="179" t="s">
        <v>628</v>
      </c>
      <c r="AB53" s="178"/>
      <c r="AC53" s="177" t="s">
        <v>360</v>
      </c>
      <c r="AD53" s="178"/>
      <c r="AE53" s="179" t="s">
        <v>628</v>
      </c>
      <c r="AF53" s="177" t="s">
        <v>360</v>
      </c>
      <c r="AG53" s="178"/>
      <c r="AH53" s="179" t="s">
        <v>628</v>
      </c>
      <c r="AI53" s="264"/>
      <c r="AJ53" s="185"/>
      <c r="AK53" s="185"/>
      <c r="AL53" s="185"/>
      <c r="AM53" s="279"/>
      <c r="AO53" s="122"/>
      <c r="AP53" s="398"/>
      <c r="AQ53" s="179" t="s">
        <v>628</v>
      </c>
      <c r="AR53" s="395"/>
      <c r="AS53" s="398"/>
      <c r="AT53" s="400" t="s">
        <v>628</v>
      </c>
      <c r="AU53" s="401"/>
      <c r="AV53" s="122" t="s">
        <v>360</v>
      </c>
      <c r="AW53" s="400" t="s">
        <v>628</v>
      </c>
      <c r="AX53" s="401"/>
      <c r="AY53" s="122" t="s">
        <v>360</v>
      </c>
      <c r="AZ53" s="179" t="s">
        <v>628</v>
      </c>
      <c r="BA53" s="401"/>
      <c r="BB53" s="122" t="s">
        <v>360</v>
      </c>
      <c r="BC53" s="122" t="s">
        <v>370</v>
      </c>
      <c r="BD53" s="401"/>
      <c r="BE53" s="177" t="s">
        <v>360</v>
      </c>
      <c r="BF53" s="177" t="s">
        <v>370</v>
      </c>
      <c r="BG53" s="177" t="s">
        <v>360</v>
      </c>
      <c r="BH53" s="177" t="s">
        <v>370</v>
      </c>
      <c r="BI53" s="177" t="s">
        <v>360</v>
      </c>
      <c r="BJ53" s="177" t="s">
        <v>370</v>
      </c>
      <c r="BK53" s="402" t="s">
        <v>816</v>
      </c>
    </row>
    <row r="54" spans="1:63" ht="55.15" customHeight="1" x14ac:dyDescent="0.2">
      <c r="A54" s="403" t="s">
        <v>10</v>
      </c>
      <c r="B54" s="420"/>
      <c r="C54" s="395" t="s">
        <v>418</v>
      </c>
      <c r="D54" s="420"/>
      <c r="E54" s="396" t="s">
        <v>457</v>
      </c>
      <c r="F54" s="397"/>
      <c r="G54" s="396"/>
      <c r="H54" s="397"/>
      <c r="I54" s="405">
        <v>100</v>
      </c>
      <c r="J54" s="398"/>
      <c r="K54" s="395" t="s">
        <v>409</v>
      </c>
      <c r="L54" s="398"/>
      <c r="M54" s="395" t="s">
        <v>421</v>
      </c>
      <c r="N54" s="398"/>
      <c r="O54" s="177" t="s">
        <v>452</v>
      </c>
      <c r="P54" s="399" t="s">
        <v>455</v>
      </c>
      <c r="Q54" s="178"/>
      <c r="R54" s="178"/>
      <c r="S54" s="179" t="s">
        <v>370</v>
      </c>
      <c r="T54" s="178"/>
      <c r="U54" s="177"/>
      <c r="V54" s="178"/>
      <c r="W54" s="179" t="s">
        <v>628</v>
      </c>
      <c r="X54" s="178"/>
      <c r="Y54" s="177" t="s">
        <v>360</v>
      </c>
      <c r="Z54" s="178"/>
      <c r="AA54" s="179" t="s">
        <v>628</v>
      </c>
      <c r="AB54" s="178"/>
      <c r="AC54" s="177" t="s">
        <v>360</v>
      </c>
      <c r="AD54" s="178"/>
      <c r="AE54" s="179" t="s">
        <v>628</v>
      </c>
      <c r="AF54" s="177" t="s">
        <v>360</v>
      </c>
      <c r="AG54" s="178"/>
      <c r="AH54" s="179" t="s">
        <v>628</v>
      </c>
      <c r="AI54" s="264"/>
      <c r="AJ54" s="185"/>
      <c r="AK54" s="185"/>
      <c r="AL54" s="185"/>
      <c r="AM54" s="279"/>
      <c r="AO54" s="122"/>
      <c r="AP54" s="398"/>
      <c r="AQ54" s="179" t="s">
        <v>628</v>
      </c>
      <c r="AR54" s="395"/>
      <c r="AS54" s="398"/>
      <c r="AT54" s="400" t="s">
        <v>628</v>
      </c>
      <c r="AU54" s="401"/>
      <c r="AV54" s="122" t="s">
        <v>360</v>
      </c>
      <c r="AW54" s="400" t="s">
        <v>628</v>
      </c>
      <c r="AX54" s="401"/>
      <c r="AY54" s="122" t="s">
        <v>360</v>
      </c>
      <c r="AZ54" s="179" t="s">
        <v>628</v>
      </c>
      <c r="BA54" s="401"/>
      <c r="BB54" s="122" t="s">
        <v>360</v>
      </c>
      <c r="BC54" s="122" t="s">
        <v>370</v>
      </c>
      <c r="BD54" s="401"/>
      <c r="BE54" s="177" t="s">
        <v>360</v>
      </c>
      <c r="BF54" s="177" t="s">
        <v>370</v>
      </c>
      <c r="BG54" s="177" t="s">
        <v>360</v>
      </c>
      <c r="BH54" s="177" t="s">
        <v>370</v>
      </c>
      <c r="BI54" s="177" t="s">
        <v>360</v>
      </c>
      <c r="BJ54" s="177" t="s">
        <v>370</v>
      </c>
      <c r="BK54" s="402" t="s">
        <v>816</v>
      </c>
    </row>
    <row r="55" spans="1:63" ht="55.15" customHeight="1" x14ac:dyDescent="0.2">
      <c r="A55" s="403" t="s">
        <v>10</v>
      </c>
      <c r="B55" s="420"/>
      <c r="C55" s="395" t="s">
        <v>418</v>
      </c>
      <c r="D55" s="420"/>
      <c r="E55" s="396" t="s">
        <v>458</v>
      </c>
      <c r="F55" s="397"/>
      <c r="G55" s="396"/>
      <c r="H55" s="397"/>
      <c r="I55" s="405">
        <v>100</v>
      </c>
      <c r="J55" s="398"/>
      <c r="K55" s="395" t="s">
        <v>409</v>
      </c>
      <c r="L55" s="398"/>
      <c r="M55" s="395" t="s">
        <v>421</v>
      </c>
      <c r="N55" s="398"/>
      <c r="O55" s="177" t="s">
        <v>459</v>
      </c>
      <c r="P55" s="399" t="s">
        <v>460</v>
      </c>
      <c r="Q55" s="178"/>
      <c r="R55" s="178"/>
      <c r="S55" s="179" t="s">
        <v>370</v>
      </c>
      <c r="T55" s="178"/>
      <c r="U55" s="177"/>
      <c r="V55" s="178"/>
      <c r="W55" s="179" t="s">
        <v>628</v>
      </c>
      <c r="X55" s="178"/>
      <c r="Y55" s="177" t="s">
        <v>360</v>
      </c>
      <c r="Z55" s="178"/>
      <c r="AA55" s="179" t="s">
        <v>628</v>
      </c>
      <c r="AB55" s="178"/>
      <c r="AC55" s="177" t="s">
        <v>360</v>
      </c>
      <c r="AD55" s="178"/>
      <c r="AE55" s="179" t="s">
        <v>628</v>
      </c>
      <c r="AF55" s="177" t="s">
        <v>360</v>
      </c>
      <c r="AG55" s="178"/>
      <c r="AH55" s="179" t="s">
        <v>628</v>
      </c>
      <c r="AI55" s="264"/>
      <c r="AJ55" s="185"/>
      <c r="AK55" s="185"/>
      <c r="AL55" s="185"/>
      <c r="AM55" s="279"/>
      <c r="AO55" s="122"/>
      <c r="AP55" s="398"/>
      <c r="AQ55" s="179" t="s">
        <v>628</v>
      </c>
      <c r="AR55" s="395"/>
      <c r="AS55" s="398"/>
      <c r="AT55" s="400" t="s">
        <v>628</v>
      </c>
      <c r="AU55" s="401"/>
      <c r="AV55" s="122">
        <v>166</v>
      </c>
      <c r="AW55" s="400">
        <v>16600</v>
      </c>
      <c r="AX55" s="401"/>
      <c r="AY55" s="122">
        <v>34</v>
      </c>
      <c r="AZ55" s="179">
        <v>10200</v>
      </c>
      <c r="BA55" s="401"/>
      <c r="BB55" s="122" t="s">
        <v>452</v>
      </c>
      <c r="BC55" s="400" t="s">
        <v>452</v>
      </c>
      <c r="BD55" s="401"/>
      <c r="BE55" s="177">
        <v>142</v>
      </c>
      <c r="BF55" s="179">
        <v>14200</v>
      </c>
      <c r="BG55" s="429">
        <v>190</v>
      </c>
      <c r="BH55" s="430">
        <v>19000</v>
      </c>
      <c r="BI55" s="429">
        <v>203</v>
      </c>
      <c r="BJ55" s="430">
        <v>20300</v>
      </c>
      <c r="BK55" s="402" t="s">
        <v>816</v>
      </c>
    </row>
    <row r="56" spans="1:63" ht="55.15" customHeight="1" x14ac:dyDescent="0.2">
      <c r="A56" s="421" t="s">
        <v>10</v>
      </c>
      <c r="B56" s="420"/>
      <c r="C56" s="395" t="s">
        <v>418</v>
      </c>
      <c r="D56" s="420"/>
      <c r="E56" s="396" t="s">
        <v>461</v>
      </c>
      <c r="F56" s="422"/>
      <c r="G56" s="396"/>
      <c r="H56" s="422"/>
      <c r="I56" s="405">
        <v>300</v>
      </c>
      <c r="J56" s="398"/>
      <c r="K56" s="395" t="s">
        <v>746</v>
      </c>
      <c r="L56" s="398"/>
      <c r="M56" s="395" t="s">
        <v>421</v>
      </c>
      <c r="N56" s="398"/>
      <c r="O56" s="177" t="s">
        <v>452</v>
      </c>
      <c r="P56" s="399" t="s">
        <v>462</v>
      </c>
      <c r="Q56" s="178"/>
      <c r="R56" s="178"/>
      <c r="S56" s="180" t="s">
        <v>370</v>
      </c>
      <c r="T56" s="178"/>
      <c r="U56" s="177"/>
      <c r="V56" s="178"/>
      <c r="W56" s="179" t="s">
        <v>628</v>
      </c>
      <c r="X56" s="178"/>
      <c r="Y56" s="177" t="s">
        <v>360</v>
      </c>
      <c r="Z56" s="178"/>
      <c r="AA56" s="179" t="s">
        <v>628</v>
      </c>
      <c r="AB56" s="178"/>
      <c r="AC56" s="177" t="s">
        <v>360</v>
      </c>
      <c r="AD56" s="178"/>
      <c r="AE56" s="179" t="s">
        <v>628</v>
      </c>
      <c r="AF56" s="177" t="s">
        <v>360</v>
      </c>
      <c r="AG56" s="178"/>
      <c r="AH56" s="179" t="s">
        <v>628</v>
      </c>
      <c r="AI56" s="264"/>
      <c r="AJ56" s="185"/>
      <c r="AK56" s="185"/>
      <c r="AL56" s="185"/>
      <c r="AM56" s="279"/>
      <c r="AO56" s="122"/>
      <c r="AP56" s="398"/>
      <c r="AQ56" s="179" t="s">
        <v>628</v>
      </c>
      <c r="AR56" s="395"/>
      <c r="AS56" s="398"/>
      <c r="AT56" s="400" t="s">
        <v>628</v>
      </c>
      <c r="AU56" s="401"/>
      <c r="AV56" s="122">
        <v>185</v>
      </c>
      <c r="AW56" s="400">
        <v>18500</v>
      </c>
      <c r="AX56" s="401"/>
      <c r="AY56" s="122">
        <v>30</v>
      </c>
      <c r="AZ56" s="179">
        <v>9100</v>
      </c>
      <c r="BA56" s="401"/>
      <c r="BB56" s="122">
        <v>12</v>
      </c>
      <c r="BC56" s="400">
        <v>3600</v>
      </c>
      <c r="BD56" s="401"/>
      <c r="BE56" s="177">
        <v>35</v>
      </c>
      <c r="BF56" s="179">
        <v>10500</v>
      </c>
      <c r="BG56" s="429">
        <v>44</v>
      </c>
      <c r="BH56" s="430">
        <v>13200</v>
      </c>
      <c r="BI56" s="429">
        <v>20</v>
      </c>
      <c r="BJ56" s="430">
        <v>6000</v>
      </c>
      <c r="BK56" s="402" t="s">
        <v>816</v>
      </c>
    </row>
    <row r="57" spans="1:63" ht="55.15" customHeight="1" x14ac:dyDescent="0.2">
      <c r="A57" s="421" t="s">
        <v>10</v>
      </c>
      <c r="B57" s="420"/>
      <c r="C57" s="395" t="s">
        <v>418</v>
      </c>
      <c r="D57" s="420"/>
      <c r="E57" s="396" t="s">
        <v>463</v>
      </c>
      <c r="F57" s="422"/>
      <c r="G57" s="396"/>
      <c r="H57" s="422"/>
      <c r="I57" s="405">
        <v>50</v>
      </c>
      <c r="J57" s="398"/>
      <c r="K57" s="395" t="s">
        <v>409</v>
      </c>
      <c r="L57" s="398"/>
      <c r="M57" s="395" t="s">
        <v>421</v>
      </c>
      <c r="N57" s="398"/>
      <c r="O57" s="177" t="s">
        <v>452</v>
      </c>
      <c r="P57" s="399" t="s">
        <v>462</v>
      </c>
      <c r="Q57" s="178"/>
      <c r="R57" s="178"/>
      <c r="S57" s="180" t="s">
        <v>370</v>
      </c>
      <c r="T57" s="178"/>
      <c r="U57" s="177"/>
      <c r="V57" s="178"/>
      <c r="W57" s="179" t="s">
        <v>628</v>
      </c>
      <c r="X57" s="178"/>
      <c r="Y57" s="177" t="s">
        <v>360</v>
      </c>
      <c r="Z57" s="178"/>
      <c r="AA57" s="179" t="s">
        <v>628</v>
      </c>
      <c r="AB57" s="178"/>
      <c r="AC57" s="177" t="s">
        <v>360</v>
      </c>
      <c r="AD57" s="178"/>
      <c r="AE57" s="179" t="s">
        <v>628</v>
      </c>
      <c r="AF57" s="177" t="s">
        <v>360</v>
      </c>
      <c r="AG57" s="178"/>
      <c r="AH57" s="179" t="s">
        <v>628</v>
      </c>
      <c r="AI57" s="264"/>
      <c r="AJ57" s="185"/>
      <c r="AK57" s="185"/>
      <c r="AL57" s="185"/>
      <c r="AM57" s="279"/>
      <c r="AO57" s="122"/>
      <c r="AP57" s="398"/>
      <c r="AQ57" s="179" t="s">
        <v>628</v>
      </c>
      <c r="AR57" s="395"/>
      <c r="AS57" s="398"/>
      <c r="AT57" s="400" t="s">
        <v>628</v>
      </c>
      <c r="AU57" s="401"/>
      <c r="AV57" s="122" t="s">
        <v>360</v>
      </c>
      <c r="AW57" s="400" t="s">
        <v>628</v>
      </c>
      <c r="AX57" s="401"/>
      <c r="AY57" s="122" t="s">
        <v>360</v>
      </c>
      <c r="AZ57" s="179" t="s">
        <v>628</v>
      </c>
      <c r="BA57" s="401"/>
      <c r="BB57" s="122" t="s">
        <v>360</v>
      </c>
      <c r="BC57" s="122" t="s">
        <v>628</v>
      </c>
      <c r="BD57" s="401"/>
      <c r="BE57" s="177" t="s">
        <v>360</v>
      </c>
      <c r="BF57" s="177" t="s">
        <v>370</v>
      </c>
      <c r="BG57" s="177" t="s">
        <v>360</v>
      </c>
      <c r="BH57" s="177" t="s">
        <v>370</v>
      </c>
      <c r="BI57" s="177" t="s">
        <v>360</v>
      </c>
      <c r="BJ57" s="177" t="s">
        <v>370</v>
      </c>
      <c r="BK57" s="402" t="s">
        <v>816</v>
      </c>
    </row>
    <row r="58" spans="1:63" ht="55.15" customHeight="1" x14ac:dyDescent="0.2">
      <c r="A58" s="421" t="s">
        <v>10</v>
      </c>
      <c r="B58" s="420"/>
      <c r="C58" s="395" t="s">
        <v>418</v>
      </c>
      <c r="D58" s="420"/>
      <c r="E58" s="396" t="s">
        <v>464</v>
      </c>
      <c r="F58" s="422"/>
      <c r="G58" s="396"/>
      <c r="H58" s="422"/>
      <c r="I58" s="405">
        <v>100</v>
      </c>
      <c r="J58" s="398"/>
      <c r="K58" s="395" t="s">
        <v>409</v>
      </c>
      <c r="L58" s="398"/>
      <c r="M58" s="395" t="s">
        <v>421</v>
      </c>
      <c r="N58" s="398"/>
      <c r="O58" s="177" t="s">
        <v>452</v>
      </c>
      <c r="P58" s="399" t="s">
        <v>462</v>
      </c>
      <c r="Q58" s="178"/>
      <c r="R58" s="178"/>
      <c r="S58" s="180" t="s">
        <v>370</v>
      </c>
      <c r="T58" s="178"/>
      <c r="U58" s="177"/>
      <c r="V58" s="178"/>
      <c r="W58" s="179" t="s">
        <v>628</v>
      </c>
      <c r="X58" s="178"/>
      <c r="Y58" s="177" t="s">
        <v>360</v>
      </c>
      <c r="Z58" s="178"/>
      <c r="AA58" s="179" t="s">
        <v>628</v>
      </c>
      <c r="AB58" s="178"/>
      <c r="AC58" s="177" t="s">
        <v>360</v>
      </c>
      <c r="AD58" s="178"/>
      <c r="AE58" s="179" t="s">
        <v>628</v>
      </c>
      <c r="AF58" s="177" t="s">
        <v>360</v>
      </c>
      <c r="AG58" s="178"/>
      <c r="AH58" s="179" t="s">
        <v>628</v>
      </c>
      <c r="AI58" s="264"/>
      <c r="AJ58" s="185"/>
      <c r="AK58" s="185"/>
      <c r="AL58" s="185"/>
      <c r="AM58" s="279"/>
      <c r="AO58" s="122"/>
      <c r="AP58" s="398"/>
      <c r="AQ58" s="179" t="s">
        <v>628</v>
      </c>
      <c r="AR58" s="395"/>
      <c r="AS58" s="398"/>
      <c r="AT58" s="400" t="s">
        <v>628</v>
      </c>
      <c r="AU58" s="401"/>
      <c r="AV58" s="122" t="s">
        <v>360</v>
      </c>
      <c r="AW58" s="400" t="s">
        <v>628</v>
      </c>
      <c r="AX58" s="401"/>
      <c r="AY58" s="122" t="s">
        <v>360</v>
      </c>
      <c r="AZ58" s="179" t="s">
        <v>628</v>
      </c>
      <c r="BA58" s="401"/>
      <c r="BB58" s="122" t="s">
        <v>360</v>
      </c>
      <c r="BC58" s="122" t="s">
        <v>628</v>
      </c>
      <c r="BD58" s="401"/>
      <c r="BE58" s="177" t="s">
        <v>360</v>
      </c>
      <c r="BF58" s="177" t="s">
        <v>370</v>
      </c>
      <c r="BG58" s="177" t="s">
        <v>360</v>
      </c>
      <c r="BH58" s="177" t="s">
        <v>370</v>
      </c>
      <c r="BI58" s="177" t="s">
        <v>360</v>
      </c>
      <c r="BJ58" s="177" t="s">
        <v>370</v>
      </c>
      <c r="BK58" s="402" t="s">
        <v>816</v>
      </c>
    </row>
    <row r="59" spans="1:63" ht="55.15" customHeight="1" x14ac:dyDescent="0.2">
      <c r="A59" s="421" t="s">
        <v>10</v>
      </c>
      <c r="B59" s="420"/>
      <c r="C59" s="395" t="s">
        <v>418</v>
      </c>
      <c r="D59" s="420"/>
      <c r="E59" s="396" t="s">
        <v>465</v>
      </c>
      <c r="F59" s="422"/>
      <c r="G59" s="396"/>
      <c r="H59" s="422"/>
      <c r="I59" s="405">
        <v>100</v>
      </c>
      <c r="J59" s="398"/>
      <c r="K59" s="395" t="s">
        <v>409</v>
      </c>
      <c r="L59" s="398"/>
      <c r="M59" s="395" t="s">
        <v>421</v>
      </c>
      <c r="N59" s="398"/>
      <c r="O59" s="177" t="s">
        <v>452</v>
      </c>
      <c r="P59" s="399" t="s">
        <v>466</v>
      </c>
      <c r="Q59" s="178"/>
      <c r="R59" s="178"/>
      <c r="S59" s="180" t="s">
        <v>370</v>
      </c>
      <c r="T59" s="178"/>
      <c r="U59" s="177"/>
      <c r="V59" s="178"/>
      <c r="W59" s="179" t="s">
        <v>628</v>
      </c>
      <c r="X59" s="178"/>
      <c r="Y59" s="177" t="s">
        <v>360</v>
      </c>
      <c r="Z59" s="178"/>
      <c r="AA59" s="179" t="s">
        <v>628</v>
      </c>
      <c r="AB59" s="178"/>
      <c r="AC59" s="177" t="s">
        <v>360</v>
      </c>
      <c r="AD59" s="178"/>
      <c r="AE59" s="179" t="s">
        <v>628</v>
      </c>
      <c r="AF59" s="177" t="s">
        <v>360</v>
      </c>
      <c r="AG59" s="178"/>
      <c r="AH59" s="179" t="s">
        <v>628</v>
      </c>
      <c r="AI59" s="264"/>
      <c r="AJ59" s="185"/>
      <c r="AK59" s="185"/>
      <c r="AL59" s="185"/>
      <c r="AM59" s="279"/>
      <c r="AO59" s="122"/>
      <c r="AP59" s="398"/>
      <c r="AQ59" s="179" t="s">
        <v>628</v>
      </c>
      <c r="AR59" s="395"/>
      <c r="AS59" s="398"/>
      <c r="AT59" s="400" t="s">
        <v>628</v>
      </c>
      <c r="AU59" s="401"/>
      <c r="AV59" s="122" t="s">
        <v>360</v>
      </c>
      <c r="AW59" s="400" t="s">
        <v>628</v>
      </c>
      <c r="AX59" s="401"/>
      <c r="AY59" s="122" t="s">
        <v>360</v>
      </c>
      <c r="AZ59" s="179" t="s">
        <v>628</v>
      </c>
      <c r="BA59" s="401"/>
      <c r="BB59" s="122" t="s">
        <v>360</v>
      </c>
      <c r="BC59" s="122" t="s">
        <v>628</v>
      </c>
      <c r="BD59" s="401"/>
      <c r="BE59" s="177" t="s">
        <v>360</v>
      </c>
      <c r="BF59" s="177" t="s">
        <v>370</v>
      </c>
      <c r="BG59" s="177" t="s">
        <v>360</v>
      </c>
      <c r="BH59" s="177" t="s">
        <v>370</v>
      </c>
      <c r="BI59" s="177" t="s">
        <v>360</v>
      </c>
      <c r="BJ59" s="177" t="s">
        <v>370</v>
      </c>
      <c r="BK59" s="402" t="s">
        <v>816</v>
      </c>
    </row>
    <row r="60" spans="1:63" ht="55.15" customHeight="1" x14ac:dyDescent="0.2">
      <c r="A60" s="421" t="s">
        <v>10</v>
      </c>
      <c r="B60" s="420"/>
      <c r="C60" s="395" t="s">
        <v>418</v>
      </c>
      <c r="D60" s="420"/>
      <c r="E60" s="396" t="s">
        <v>467</v>
      </c>
      <c r="F60" s="422"/>
      <c r="G60" s="396"/>
      <c r="H60" s="422"/>
      <c r="I60" s="405">
        <v>30</v>
      </c>
      <c r="J60" s="398"/>
      <c r="K60" s="395" t="s">
        <v>409</v>
      </c>
      <c r="L60" s="398"/>
      <c r="M60" s="395" t="s">
        <v>429</v>
      </c>
      <c r="N60" s="398"/>
      <c r="O60" s="177" t="s">
        <v>452</v>
      </c>
      <c r="P60" s="399" t="s">
        <v>468</v>
      </c>
      <c r="Q60" s="178"/>
      <c r="R60" s="178"/>
      <c r="S60" s="180">
        <v>31405</v>
      </c>
      <c r="T60" s="178"/>
      <c r="U60" s="177"/>
      <c r="V60" s="178"/>
      <c r="W60" s="179"/>
      <c r="X60" s="178"/>
      <c r="Y60" s="177" t="s">
        <v>360</v>
      </c>
      <c r="Z60" s="178"/>
      <c r="AA60" s="180">
        <v>45590</v>
      </c>
      <c r="AB60" s="178"/>
      <c r="AC60" s="177" t="s">
        <v>360</v>
      </c>
      <c r="AD60" s="178"/>
      <c r="AE60" s="179">
        <v>39555</v>
      </c>
      <c r="AF60" s="177" t="s">
        <v>360</v>
      </c>
      <c r="AG60" s="178"/>
      <c r="AH60" s="179">
        <v>53925</v>
      </c>
      <c r="AI60" s="264"/>
      <c r="AJ60" s="185"/>
      <c r="AK60" s="185" t="s">
        <v>430</v>
      </c>
      <c r="AL60" s="185"/>
      <c r="AM60" s="279"/>
      <c r="AO60" s="122">
        <v>1945</v>
      </c>
      <c r="AP60" s="398"/>
      <c r="AQ60" s="179">
        <v>47550</v>
      </c>
      <c r="AR60" s="395">
        <v>1814</v>
      </c>
      <c r="AS60" s="398"/>
      <c r="AT60" s="400">
        <v>46485</v>
      </c>
      <c r="AU60" s="401"/>
      <c r="AV60" s="122" t="s">
        <v>360</v>
      </c>
      <c r="AW60" s="400">
        <v>37635</v>
      </c>
      <c r="AX60" s="401"/>
      <c r="AY60" s="122" t="s">
        <v>360</v>
      </c>
      <c r="AZ60" s="179">
        <v>37960</v>
      </c>
      <c r="BA60" s="401"/>
      <c r="BB60" s="122">
        <v>105</v>
      </c>
      <c r="BC60" s="400">
        <v>31230</v>
      </c>
      <c r="BD60" s="401"/>
      <c r="BE60" s="177">
        <v>91</v>
      </c>
      <c r="BF60" s="179">
        <v>28230</v>
      </c>
      <c r="BG60" s="429">
        <v>45</v>
      </c>
      <c r="BH60" s="430">
        <v>31290</v>
      </c>
      <c r="BI60" s="429">
        <v>40</v>
      </c>
      <c r="BJ60" s="430">
        <v>33930</v>
      </c>
      <c r="BK60" s="402" t="s">
        <v>816</v>
      </c>
    </row>
    <row r="61" spans="1:63" ht="55.15" customHeight="1" x14ac:dyDescent="0.2">
      <c r="A61" s="421" t="s">
        <v>10</v>
      </c>
      <c r="B61" s="420"/>
      <c r="C61" s="395" t="s">
        <v>418</v>
      </c>
      <c r="D61" s="420"/>
      <c r="E61" s="396" t="s">
        <v>469</v>
      </c>
      <c r="F61" s="422"/>
      <c r="G61" s="396"/>
      <c r="H61" s="422"/>
      <c r="I61" s="405">
        <v>10</v>
      </c>
      <c r="J61" s="398"/>
      <c r="K61" s="395" t="s">
        <v>409</v>
      </c>
      <c r="L61" s="398"/>
      <c r="M61" s="395" t="s">
        <v>429</v>
      </c>
      <c r="N61" s="398"/>
      <c r="O61" s="177" t="s">
        <v>452</v>
      </c>
      <c r="P61" s="399" t="s">
        <v>468</v>
      </c>
      <c r="Q61" s="178"/>
      <c r="R61" s="178"/>
      <c r="S61" s="180" t="s">
        <v>370</v>
      </c>
      <c r="T61" s="178"/>
      <c r="U61" s="177"/>
      <c r="V61" s="178"/>
      <c r="W61" s="179" t="s">
        <v>628</v>
      </c>
      <c r="X61" s="178"/>
      <c r="Y61" s="177" t="s">
        <v>360</v>
      </c>
      <c r="Z61" s="178"/>
      <c r="AA61" s="179" t="s">
        <v>628</v>
      </c>
      <c r="AB61" s="178"/>
      <c r="AC61" s="177" t="s">
        <v>360</v>
      </c>
      <c r="AD61" s="178"/>
      <c r="AE61" s="179" t="s">
        <v>628</v>
      </c>
      <c r="AF61" s="177" t="s">
        <v>360</v>
      </c>
      <c r="AG61" s="178"/>
      <c r="AH61" s="179" t="s">
        <v>628</v>
      </c>
      <c r="AI61" s="264"/>
      <c r="AJ61" s="185"/>
      <c r="AK61" s="185"/>
      <c r="AL61" s="185"/>
      <c r="AM61" s="279"/>
      <c r="AO61" s="122"/>
      <c r="AP61" s="398"/>
      <c r="AQ61" s="179" t="s">
        <v>628</v>
      </c>
      <c r="AR61" s="395"/>
      <c r="AS61" s="398"/>
      <c r="AT61" s="400" t="s">
        <v>628</v>
      </c>
      <c r="AU61" s="401"/>
      <c r="AV61" s="122" t="s">
        <v>360</v>
      </c>
      <c r="AW61" s="400" t="s">
        <v>628</v>
      </c>
      <c r="AX61" s="401"/>
      <c r="AY61" s="122" t="s">
        <v>360</v>
      </c>
      <c r="AZ61" s="179" t="s">
        <v>628</v>
      </c>
      <c r="BA61" s="401"/>
      <c r="BB61" s="122" t="s">
        <v>360</v>
      </c>
      <c r="BC61" s="122" t="s">
        <v>628</v>
      </c>
      <c r="BD61" s="401"/>
      <c r="BE61" s="177" t="s">
        <v>360</v>
      </c>
      <c r="BF61" s="177" t="s">
        <v>370</v>
      </c>
      <c r="BG61" s="177" t="s">
        <v>360</v>
      </c>
      <c r="BH61" s="177" t="s">
        <v>370</v>
      </c>
      <c r="BI61" s="177" t="s">
        <v>360</v>
      </c>
      <c r="BJ61" s="177" t="s">
        <v>370</v>
      </c>
      <c r="BK61" s="402" t="s">
        <v>816</v>
      </c>
    </row>
    <row r="62" spans="1:63" ht="55.15" customHeight="1" x14ac:dyDescent="0.2">
      <c r="A62" s="421" t="s">
        <v>10</v>
      </c>
      <c r="B62" s="420"/>
      <c r="C62" s="395" t="s">
        <v>418</v>
      </c>
      <c r="D62" s="420"/>
      <c r="E62" s="396" t="s">
        <v>470</v>
      </c>
      <c r="F62" s="422"/>
      <c r="G62" s="396"/>
      <c r="H62" s="422"/>
      <c r="I62" s="405">
        <v>10</v>
      </c>
      <c r="J62" s="398"/>
      <c r="K62" s="395" t="s">
        <v>409</v>
      </c>
      <c r="L62" s="398"/>
      <c r="M62" s="395" t="s">
        <v>429</v>
      </c>
      <c r="N62" s="398"/>
      <c r="O62" s="177" t="s">
        <v>452</v>
      </c>
      <c r="P62" s="399" t="s">
        <v>468</v>
      </c>
      <c r="Q62" s="178"/>
      <c r="R62" s="178"/>
      <c r="S62" s="180" t="s">
        <v>370</v>
      </c>
      <c r="T62" s="178"/>
      <c r="U62" s="177"/>
      <c r="V62" s="178"/>
      <c r="W62" s="179" t="s">
        <v>628</v>
      </c>
      <c r="X62" s="178"/>
      <c r="Y62" s="177" t="s">
        <v>360</v>
      </c>
      <c r="Z62" s="178"/>
      <c r="AA62" s="179" t="s">
        <v>628</v>
      </c>
      <c r="AB62" s="178"/>
      <c r="AC62" s="177" t="s">
        <v>360</v>
      </c>
      <c r="AD62" s="178"/>
      <c r="AE62" s="179" t="s">
        <v>628</v>
      </c>
      <c r="AF62" s="177" t="s">
        <v>360</v>
      </c>
      <c r="AG62" s="178"/>
      <c r="AH62" s="179" t="s">
        <v>628</v>
      </c>
      <c r="AI62" s="264"/>
      <c r="AJ62" s="185"/>
      <c r="AK62" s="185"/>
      <c r="AL62" s="185"/>
      <c r="AM62" s="279"/>
      <c r="AO62" s="122"/>
      <c r="AP62" s="398"/>
      <c r="AQ62" s="179" t="s">
        <v>628</v>
      </c>
      <c r="AR62" s="395"/>
      <c r="AS62" s="398"/>
      <c r="AT62" s="400" t="s">
        <v>628</v>
      </c>
      <c r="AU62" s="401"/>
      <c r="AV62" s="122" t="s">
        <v>360</v>
      </c>
      <c r="AW62" s="400" t="s">
        <v>628</v>
      </c>
      <c r="AX62" s="401"/>
      <c r="AY62" s="122" t="s">
        <v>360</v>
      </c>
      <c r="AZ62" s="179" t="s">
        <v>628</v>
      </c>
      <c r="BA62" s="401"/>
      <c r="BB62" s="122" t="s">
        <v>360</v>
      </c>
      <c r="BC62" s="122" t="s">
        <v>628</v>
      </c>
      <c r="BD62" s="401"/>
      <c r="BE62" s="177" t="s">
        <v>360</v>
      </c>
      <c r="BF62" s="177" t="s">
        <v>370</v>
      </c>
      <c r="BG62" s="177" t="s">
        <v>360</v>
      </c>
      <c r="BH62" s="177" t="s">
        <v>370</v>
      </c>
      <c r="BI62" s="177" t="s">
        <v>360</v>
      </c>
      <c r="BJ62" s="177" t="s">
        <v>370</v>
      </c>
      <c r="BK62" s="402" t="s">
        <v>816</v>
      </c>
    </row>
    <row r="63" spans="1:63" ht="55.15" customHeight="1" x14ac:dyDescent="0.2">
      <c r="A63" s="421" t="s">
        <v>10</v>
      </c>
      <c r="B63" s="420"/>
      <c r="C63" s="395" t="s">
        <v>418</v>
      </c>
      <c r="D63" s="420"/>
      <c r="E63" s="396" t="s">
        <v>471</v>
      </c>
      <c r="F63" s="422"/>
      <c r="G63" s="396"/>
      <c r="H63" s="422"/>
      <c r="I63" s="405">
        <v>15</v>
      </c>
      <c r="J63" s="398"/>
      <c r="K63" s="395" t="s">
        <v>409</v>
      </c>
      <c r="L63" s="398"/>
      <c r="M63" s="395" t="s">
        <v>429</v>
      </c>
      <c r="N63" s="398"/>
      <c r="O63" s="177" t="s">
        <v>452</v>
      </c>
      <c r="P63" s="399" t="s">
        <v>468</v>
      </c>
      <c r="Q63" s="178"/>
      <c r="R63" s="178"/>
      <c r="S63" s="180" t="s">
        <v>370</v>
      </c>
      <c r="T63" s="178"/>
      <c r="U63" s="177"/>
      <c r="V63" s="178"/>
      <c r="W63" s="179" t="s">
        <v>628</v>
      </c>
      <c r="X63" s="178"/>
      <c r="Y63" s="177" t="s">
        <v>360</v>
      </c>
      <c r="Z63" s="178"/>
      <c r="AA63" s="179" t="s">
        <v>628</v>
      </c>
      <c r="AB63" s="178"/>
      <c r="AC63" s="177" t="s">
        <v>360</v>
      </c>
      <c r="AD63" s="178"/>
      <c r="AE63" s="179" t="s">
        <v>628</v>
      </c>
      <c r="AF63" s="177" t="s">
        <v>360</v>
      </c>
      <c r="AG63" s="178"/>
      <c r="AH63" s="179" t="s">
        <v>628</v>
      </c>
      <c r="AI63" s="264"/>
      <c r="AJ63" s="185"/>
      <c r="AK63" s="185"/>
      <c r="AL63" s="185"/>
      <c r="AM63" s="279"/>
      <c r="AO63" s="122"/>
      <c r="AP63" s="398"/>
      <c r="AQ63" s="179" t="s">
        <v>628</v>
      </c>
      <c r="AR63" s="395"/>
      <c r="AS63" s="398"/>
      <c r="AT63" s="400" t="s">
        <v>628</v>
      </c>
      <c r="AU63" s="401"/>
      <c r="AV63" s="122" t="s">
        <v>360</v>
      </c>
      <c r="AW63" s="400" t="s">
        <v>628</v>
      </c>
      <c r="AX63" s="401"/>
      <c r="AY63" s="122" t="s">
        <v>360</v>
      </c>
      <c r="AZ63" s="179" t="s">
        <v>628</v>
      </c>
      <c r="BA63" s="401"/>
      <c r="BB63" s="122">
        <v>77</v>
      </c>
      <c r="BC63" s="400">
        <v>7725</v>
      </c>
      <c r="BD63" s="401"/>
      <c r="BE63" s="177">
        <v>63</v>
      </c>
      <c r="BF63" s="179">
        <v>6210</v>
      </c>
      <c r="BG63" s="429">
        <v>45</v>
      </c>
      <c r="BH63" s="430">
        <v>5925</v>
      </c>
      <c r="BI63" s="429">
        <v>40</v>
      </c>
      <c r="BJ63" s="430">
        <v>7755</v>
      </c>
      <c r="BK63" s="402" t="s">
        <v>816</v>
      </c>
    </row>
    <row r="64" spans="1:63" ht="55.15" customHeight="1" x14ac:dyDescent="0.2">
      <c r="A64" s="421" t="s">
        <v>10</v>
      </c>
      <c r="B64" s="420"/>
      <c r="C64" s="395" t="s">
        <v>418</v>
      </c>
      <c r="D64" s="420"/>
      <c r="E64" s="396" t="s">
        <v>472</v>
      </c>
      <c r="F64" s="422"/>
      <c r="G64" s="396"/>
      <c r="H64" s="422"/>
      <c r="I64" s="423">
        <v>7.5</v>
      </c>
      <c r="J64" s="398"/>
      <c r="K64" s="395" t="s">
        <v>409</v>
      </c>
      <c r="L64" s="398"/>
      <c r="M64" s="395" t="s">
        <v>429</v>
      </c>
      <c r="N64" s="398"/>
      <c r="O64" s="177" t="s">
        <v>452</v>
      </c>
      <c r="P64" s="399" t="s">
        <v>468</v>
      </c>
      <c r="Q64" s="178"/>
      <c r="R64" s="178"/>
      <c r="S64" s="180" t="s">
        <v>370</v>
      </c>
      <c r="T64" s="178"/>
      <c r="U64" s="177"/>
      <c r="V64" s="178"/>
      <c r="W64" s="179" t="s">
        <v>628</v>
      </c>
      <c r="X64" s="178"/>
      <c r="Y64" s="177" t="s">
        <v>360</v>
      </c>
      <c r="Z64" s="178"/>
      <c r="AA64" s="179" t="s">
        <v>628</v>
      </c>
      <c r="AB64" s="178"/>
      <c r="AC64" s="177" t="s">
        <v>360</v>
      </c>
      <c r="AD64" s="178"/>
      <c r="AE64" s="179" t="s">
        <v>628</v>
      </c>
      <c r="AF64" s="177" t="s">
        <v>360</v>
      </c>
      <c r="AG64" s="178"/>
      <c r="AH64" s="179" t="s">
        <v>628</v>
      </c>
      <c r="AI64" s="264"/>
      <c r="AJ64" s="185"/>
      <c r="AK64" s="185"/>
      <c r="AL64" s="185"/>
      <c r="AM64" s="279"/>
      <c r="AO64" s="122"/>
      <c r="AP64" s="398"/>
      <c r="AQ64" s="179" t="s">
        <v>628</v>
      </c>
      <c r="AR64" s="395"/>
      <c r="AS64" s="398"/>
      <c r="AT64" s="400" t="s">
        <v>628</v>
      </c>
      <c r="AU64" s="401"/>
      <c r="AV64" s="122" t="s">
        <v>360</v>
      </c>
      <c r="AW64" s="400" t="s">
        <v>628</v>
      </c>
      <c r="AX64" s="401"/>
      <c r="AY64" s="122" t="s">
        <v>360</v>
      </c>
      <c r="AZ64" s="179" t="s">
        <v>628</v>
      </c>
      <c r="BA64" s="401"/>
      <c r="BB64" s="122" t="s">
        <v>360</v>
      </c>
      <c r="BC64" s="122" t="s">
        <v>628</v>
      </c>
      <c r="BD64" s="401"/>
      <c r="BE64" s="177" t="s">
        <v>360</v>
      </c>
      <c r="BF64" s="177" t="s">
        <v>370</v>
      </c>
      <c r="BG64" s="177" t="s">
        <v>360</v>
      </c>
      <c r="BH64" s="177" t="s">
        <v>370</v>
      </c>
      <c r="BI64" s="177" t="s">
        <v>360</v>
      </c>
      <c r="BJ64" s="177" t="s">
        <v>370</v>
      </c>
      <c r="BK64" s="402" t="s">
        <v>816</v>
      </c>
    </row>
    <row r="65" spans="1:66" ht="55.15" customHeight="1" x14ac:dyDescent="0.2">
      <c r="A65" s="421" t="s">
        <v>10</v>
      </c>
      <c r="B65" s="247"/>
      <c r="C65" s="395" t="s">
        <v>418</v>
      </c>
      <c r="D65" s="247"/>
      <c r="E65" s="396" t="s">
        <v>473</v>
      </c>
      <c r="F65" s="422"/>
      <c r="G65" s="265"/>
      <c r="H65" s="422"/>
      <c r="I65" s="395" t="s">
        <v>896</v>
      </c>
      <c r="J65" s="398"/>
      <c r="K65" s="395" t="s">
        <v>409</v>
      </c>
      <c r="L65" s="398"/>
      <c r="M65" s="395" t="s">
        <v>429</v>
      </c>
      <c r="N65" s="398"/>
      <c r="O65" s="177">
        <v>2001</v>
      </c>
      <c r="P65" s="399" t="s">
        <v>902</v>
      </c>
      <c r="Q65" s="178"/>
      <c r="R65" s="178"/>
      <c r="S65" s="180">
        <v>71478</v>
      </c>
      <c r="T65" s="178"/>
      <c r="U65" s="177"/>
      <c r="V65" s="178"/>
      <c r="W65" s="179">
        <v>77657</v>
      </c>
      <c r="X65" s="178"/>
      <c r="Y65" s="177" t="s">
        <v>360</v>
      </c>
      <c r="Z65" s="178"/>
      <c r="AA65" s="180">
        <v>66695</v>
      </c>
      <c r="AB65" s="178"/>
      <c r="AC65" s="177" t="s">
        <v>360</v>
      </c>
      <c r="AD65" s="178"/>
      <c r="AE65" s="179">
        <v>76547</v>
      </c>
      <c r="AF65" s="177" t="s">
        <v>360</v>
      </c>
      <c r="AG65" s="178"/>
      <c r="AH65" s="179">
        <v>56955</v>
      </c>
      <c r="AJ65" s="181"/>
      <c r="AK65" s="185" t="s">
        <v>430</v>
      </c>
      <c r="AL65" s="181"/>
      <c r="AM65" s="181"/>
      <c r="AN65" s="247"/>
      <c r="AO65" s="122" t="s">
        <v>360</v>
      </c>
      <c r="AP65" s="398"/>
      <c r="AQ65" s="179">
        <v>53795</v>
      </c>
      <c r="AR65" s="395" t="s">
        <v>360</v>
      </c>
      <c r="AS65" s="398"/>
      <c r="AT65" s="400">
        <v>71419</v>
      </c>
      <c r="AU65" s="401"/>
      <c r="AV65" s="122" t="s">
        <v>360</v>
      </c>
      <c r="AW65" s="400">
        <v>56059</v>
      </c>
      <c r="AX65" s="401"/>
      <c r="AY65" s="122" t="s">
        <v>360</v>
      </c>
      <c r="AZ65" s="179">
        <v>43812.5</v>
      </c>
      <c r="BA65" s="401"/>
      <c r="BB65" s="122" t="s">
        <v>360</v>
      </c>
      <c r="BC65" s="400">
        <v>41579.5</v>
      </c>
      <c r="BD65" s="401"/>
      <c r="BE65" s="177" t="s">
        <v>360</v>
      </c>
      <c r="BF65" s="179">
        <v>34670</v>
      </c>
      <c r="BG65" s="429">
        <v>359</v>
      </c>
      <c r="BH65" s="430">
        <v>91479.5</v>
      </c>
      <c r="BI65" s="429">
        <v>722</v>
      </c>
      <c r="BJ65" s="430">
        <v>147510</v>
      </c>
      <c r="BK65" s="402" t="s">
        <v>816</v>
      </c>
      <c r="BL65" s="247"/>
      <c r="BM65" s="247"/>
      <c r="BN65" s="247"/>
    </row>
    <row r="66" spans="1:66" ht="55.15" customHeight="1" x14ac:dyDescent="0.2">
      <c r="A66" s="421" t="s">
        <v>10</v>
      </c>
      <c r="B66" s="247"/>
      <c r="C66" s="395" t="s">
        <v>418</v>
      </c>
      <c r="D66" s="247"/>
      <c r="E66" s="396" t="s">
        <v>474</v>
      </c>
      <c r="F66" s="422"/>
      <c r="G66" s="396"/>
      <c r="H66" s="422"/>
      <c r="I66" s="395" t="s">
        <v>896</v>
      </c>
      <c r="J66" s="398"/>
      <c r="K66" s="395" t="s">
        <v>409</v>
      </c>
      <c r="L66" s="398"/>
      <c r="M66" s="395" t="s">
        <v>429</v>
      </c>
      <c r="N66" s="398"/>
      <c r="O66" s="177">
        <v>2001</v>
      </c>
      <c r="P66" s="399" t="s">
        <v>902</v>
      </c>
      <c r="Q66" s="178"/>
      <c r="R66" s="178"/>
      <c r="S66" s="180" t="s">
        <v>370</v>
      </c>
      <c r="T66" s="178"/>
      <c r="U66" s="177"/>
      <c r="V66" s="178"/>
      <c r="W66" s="179" t="s">
        <v>628</v>
      </c>
      <c r="X66" s="178"/>
      <c r="Y66" s="177" t="s">
        <v>360</v>
      </c>
      <c r="Z66" s="178"/>
      <c r="AA66" s="179" t="s">
        <v>628</v>
      </c>
      <c r="AB66" s="178"/>
      <c r="AC66" s="177" t="s">
        <v>360</v>
      </c>
      <c r="AD66" s="178"/>
      <c r="AE66" s="179" t="s">
        <v>628</v>
      </c>
      <c r="AF66" s="177" t="s">
        <v>360</v>
      </c>
      <c r="AG66" s="178"/>
      <c r="AH66" s="179" t="s">
        <v>628</v>
      </c>
      <c r="AJ66" s="181"/>
      <c r="AK66" s="185" t="s">
        <v>430</v>
      </c>
      <c r="AL66" s="181"/>
      <c r="AM66" s="181"/>
      <c r="AN66" s="247"/>
      <c r="AO66" s="122" t="s">
        <v>360</v>
      </c>
      <c r="AP66" s="398"/>
      <c r="AQ66" s="179" t="s">
        <v>628</v>
      </c>
      <c r="AR66" s="395" t="s">
        <v>360</v>
      </c>
      <c r="AS66" s="398"/>
      <c r="AT66" s="400" t="s">
        <v>370</v>
      </c>
      <c r="AU66" s="401"/>
      <c r="AV66" s="122" t="s">
        <v>360</v>
      </c>
      <c r="AW66" s="400" t="s">
        <v>628</v>
      </c>
      <c r="AX66" s="401"/>
      <c r="AY66" s="122" t="s">
        <v>360</v>
      </c>
      <c r="AZ66" s="179" t="s">
        <v>628</v>
      </c>
      <c r="BA66" s="401"/>
      <c r="BB66" s="122" t="s">
        <v>360</v>
      </c>
      <c r="BC66" s="400">
        <v>41579.5</v>
      </c>
      <c r="BD66" s="401"/>
      <c r="BE66" s="177" t="s">
        <v>360</v>
      </c>
      <c r="BF66" s="179">
        <v>34670</v>
      </c>
      <c r="BG66" s="429" t="s">
        <v>628</v>
      </c>
      <c r="BH66" s="430" t="s">
        <v>628</v>
      </c>
      <c r="BI66" s="429" t="s">
        <v>628</v>
      </c>
      <c r="BJ66" s="430" t="s">
        <v>628</v>
      </c>
      <c r="BK66" s="402" t="s">
        <v>816</v>
      </c>
      <c r="BL66" s="247"/>
      <c r="BM66" s="247"/>
      <c r="BN66" s="247"/>
    </row>
    <row r="67" spans="1:66" ht="55.15" customHeight="1" x14ac:dyDescent="0.2">
      <c r="A67" s="421" t="s">
        <v>10</v>
      </c>
      <c r="B67" s="247"/>
      <c r="C67" s="395" t="s">
        <v>418</v>
      </c>
      <c r="D67" s="247"/>
      <c r="E67" s="396" t="s">
        <v>475</v>
      </c>
      <c r="F67" s="422"/>
      <c r="G67" s="265"/>
      <c r="H67" s="422"/>
      <c r="I67" s="395" t="s">
        <v>897</v>
      </c>
      <c r="J67" s="398"/>
      <c r="K67" s="395" t="s">
        <v>409</v>
      </c>
      <c r="L67" s="398"/>
      <c r="M67" s="395" t="s">
        <v>429</v>
      </c>
      <c r="N67" s="398"/>
      <c r="O67" s="177">
        <v>2001</v>
      </c>
      <c r="P67" s="399" t="s">
        <v>903</v>
      </c>
      <c r="Q67" s="178"/>
      <c r="R67" s="178"/>
      <c r="S67" s="180" t="s">
        <v>370</v>
      </c>
      <c r="T67" s="178"/>
      <c r="U67" s="177"/>
      <c r="V67" s="178"/>
      <c r="W67" s="179" t="s">
        <v>628</v>
      </c>
      <c r="X67" s="178"/>
      <c r="Y67" s="177" t="s">
        <v>360</v>
      </c>
      <c r="Z67" s="178"/>
      <c r="AA67" s="179" t="s">
        <v>628</v>
      </c>
      <c r="AB67" s="178"/>
      <c r="AC67" s="177" t="s">
        <v>360</v>
      </c>
      <c r="AD67" s="178"/>
      <c r="AE67" s="179" t="s">
        <v>628</v>
      </c>
      <c r="AF67" s="177" t="s">
        <v>360</v>
      </c>
      <c r="AG67" s="178"/>
      <c r="AH67" s="179" t="s">
        <v>628</v>
      </c>
      <c r="AJ67" s="181"/>
      <c r="AK67" s="185" t="s">
        <v>430</v>
      </c>
      <c r="AL67" s="181"/>
      <c r="AM67" s="181"/>
      <c r="AN67" s="247"/>
      <c r="AO67" s="122" t="s">
        <v>360</v>
      </c>
      <c r="AP67" s="398"/>
      <c r="AQ67" s="179" t="s">
        <v>628</v>
      </c>
      <c r="AR67" s="395" t="s">
        <v>360</v>
      </c>
      <c r="AS67" s="398"/>
      <c r="AT67" s="400" t="s">
        <v>370</v>
      </c>
      <c r="AU67" s="401"/>
      <c r="AV67" s="122" t="s">
        <v>360</v>
      </c>
      <c r="AW67" s="400" t="s">
        <v>628</v>
      </c>
      <c r="AX67" s="401"/>
      <c r="AY67" s="122" t="s">
        <v>360</v>
      </c>
      <c r="AZ67" s="179" t="s">
        <v>628</v>
      </c>
      <c r="BA67" s="401"/>
      <c r="BB67" s="122" t="s">
        <v>360</v>
      </c>
      <c r="BC67" s="400" t="s">
        <v>628</v>
      </c>
      <c r="BD67" s="401"/>
      <c r="BE67" s="177" t="s">
        <v>360</v>
      </c>
      <c r="BF67" s="179" t="s">
        <v>628</v>
      </c>
      <c r="BG67" s="429" t="s">
        <v>628</v>
      </c>
      <c r="BH67" s="430" t="s">
        <v>628</v>
      </c>
      <c r="BI67" s="429" t="s">
        <v>628</v>
      </c>
      <c r="BJ67" s="430" t="s">
        <v>628</v>
      </c>
      <c r="BK67" s="402" t="s">
        <v>816</v>
      </c>
      <c r="BL67" s="247"/>
      <c r="BM67" s="247"/>
      <c r="BN67" s="247"/>
    </row>
    <row r="68" spans="1:66" ht="55.15" customHeight="1" x14ac:dyDescent="0.2">
      <c r="A68" s="421" t="s">
        <v>10</v>
      </c>
      <c r="B68" s="247"/>
      <c r="C68" s="395" t="s">
        <v>418</v>
      </c>
      <c r="D68" s="247"/>
      <c r="E68" s="396" t="s">
        <v>476</v>
      </c>
      <c r="F68" s="422"/>
      <c r="G68" s="396"/>
      <c r="H68" s="422"/>
      <c r="I68" s="395" t="s">
        <v>897</v>
      </c>
      <c r="J68" s="398"/>
      <c r="K68" s="395" t="s">
        <v>409</v>
      </c>
      <c r="L68" s="398"/>
      <c r="M68" s="395" t="s">
        <v>429</v>
      </c>
      <c r="N68" s="398"/>
      <c r="O68" s="177">
        <v>2001</v>
      </c>
      <c r="P68" s="399" t="s">
        <v>903</v>
      </c>
      <c r="Q68" s="178"/>
      <c r="R68" s="178"/>
      <c r="S68" s="180">
        <v>54423</v>
      </c>
      <c r="T68" s="178"/>
      <c r="U68" s="177"/>
      <c r="V68" s="178"/>
      <c r="W68" s="179">
        <v>60818</v>
      </c>
      <c r="X68" s="178"/>
      <c r="Y68" s="177" t="s">
        <v>360</v>
      </c>
      <c r="Z68" s="178"/>
      <c r="AA68" s="180">
        <v>64655</v>
      </c>
      <c r="AB68" s="178"/>
      <c r="AC68" s="177" t="s">
        <v>360</v>
      </c>
      <c r="AD68" s="178"/>
      <c r="AE68" s="179">
        <v>73020</v>
      </c>
      <c r="AF68" s="177" t="s">
        <v>360</v>
      </c>
      <c r="AG68" s="178"/>
      <c r="AH68" s="179">
        <v>66540</v>
      </c>
      <c r="AJ68" s="181"/>
      <c r="AK68" s="185" t="s">
        <v>430</v>
      </c>
      <c r="AL68" s="181"/>
      <c r="AM68" s="181"/>
      <c r="AN68" s="247"/>
      <c r="AO68" s="122" t="s">
        <v>360</v>
      </c>
      <c r="AP68" s="398"/>
      <c r="AQ68" s="179">
        <v>65290</v>
      </c>
      <c r="AR68" s="395" t="s">
        <v>360</v>
      </c>
      <c r="AS68" s="398"/>
      <c r="AT68" s="400">
        <v>64985</v>
      </c>
      <c r="AU68" s="401"/>
      <c r="AV68" s="122" t="s">
        <v>360</v>
      </c>
      <c r="AW68" s="400">
        <v>52900</v>
      </c>
      <c r="AX68" s="401"/>
      <c r="AY68" s="122" t="s">
        <v>360</v>
      </c>
      <c r="AZ68" s="179">
        <v>33130</v>
      </c>
      <c r="BA68" s="401"/>
      <c r="BB68" s="122" t="s">
        <v>360</v>
      </c>
      <c r="BC68" s="400" t="s">
        <v>628</v>
      </c>
      <c r="BD68" s="401"/>
      <c r="BE68" s="177" t="s">
        <v>360</v>
      </c>
      <c r="BF68" s="179" t="s">
        <v>628</v>
      </c>
      <c r="BG68" s="429" t="s">
        <v>628</v>
      </c>
      <c r="BH68" s="430" t="s">
        <v>628</v>
      </c>
      <c r="BI68" s="429" t="s">
        <v>628</v>
      </c>
      <c r="BJ68" s="430" t="s">
        <v>628</v>
      </c>
      <c r="BK68" s="402" t="s">
        <v>816</v>
      </c>
      <c r="BL68" s="247"/>
      <c r="BM68" s="247"/>
      <c r="BN68" s="247"/>
    </row>
    <row r="69" spans="1:66" ht="55.15" customHeight="1" x14ac:dyDescent="0.2">
      <c r="A69" s="421" t="s">
        <v>10</v>
      </c>
      <c r="B69" s="247"/>
      <c r="C69" s="395" t="s">
        <v>418</v>
      </c>
      <c r="D69" s="247"/>
      <c r="E69" s="396" t="s">
        <v>477</v>
      </c>
      <c r="F69" s="422"/>
      <c r="G69" s="265"/>
      <c r="H69" s="422"/>
      <c r="I69" s="395" t="s">
        <v>898</v>
      </c>
      <c r="J69" s="398"/>
      <c r="K69" s="395" t="s">
        <v>409</v>
      </c>
      <c r="L69" s="398"/>
      <c r="M69" s="395" t="s">
        <v>429</v>
      </c>
      <c r="N69" s="398"/>
      <c r="O69" s="177">
        <v>2001</v>
      </c>
      <c r="P69" s="399" t="s">
        <v>904</v>
      </c>
      <c r="Q69" s="178"/>
      <c r="R69" s="178"/>
      <c r="S69" s="180" t="s">
        <v>370</v>
      </c>
      <c r="T69" s="178"/>
      <c r="U69" s="177"/>
      <c r="V69" s="178"/>
      <c r="W69" s="179" t="s">
        <v>628</v>
      </c>
      <c r="X69" s="178"/>
      <c r="Y69" s="177" t="s">
        <v>360</v>
      </c>
      <c r="Z69" s="178"/>
      <c r="AA69" s="179" t="s">
        <v>628</v>
      </c>
      <c r="AB69" s="178"/>
      <c r="AC69" s="177" t="s">
        <v>360</v>
      </c>
      <c r="AD69" s="178"/>
      <c r="AE69" s="179" t="s">
        <v>628</v>
      </c>
      <c r="AF69" s="177" t="s">
        <v>360</v>
      </c>
      <c r="AG69" s="178"/>
      <c r="AH69" s="179" t="s">
        <v>628</v>
      </c>
      <c r="AJ69" s="181"/>
      <c r="AK69" s="185" t="s">
        <v>430</v>
      </c>
      <c r="AL69" s="181"/>
      <c r="AM69" s="181"/>
      <c r="AN69" s="247"/>
      <c r="AO69" s="122" t="s">
        <v>360</v>
      </c>
      <c r="AP69" s="398"/>
      <c r="AQ69" s="179" t="s">
        <v>370</v>
      </c>
      <c r="AR69" s="395" t="s">
        <v>360</v>
      </c>
      <c r="AS69" s="398"/>
      <c r="AT69" s="400" t="s">
        <v>370</v>
      </c>
      <c r="AU69" s="401"/>
      <c r="AV69" s="122" t="s">
        <v>360</v>
      </c>
      <c r="AW69" s="400" t="s">
        <v>628</v>
      </c>
      <c r="AX69" s="401"/>
      <c r="AY69" s="122" t="s">
        <v>360</v>
      </c>
      <c r="AZ69" s="179" t="s">
        <v>628</v>
      </c>
      <c r="BA69" s="401"/>
      <c r="BB69" s="122" t="s">
        <v>360</v>
      </c>
      <c r="BC69" s="400">
        <v>69040</v>
      </c>
      <c r="BD69" s="401"/>
      <c r="BE69" s="177" t="s">
        <v>360</v>
      </c>
      <c r="BF69" s="179">
        <v>22660</v>
      </c>
      <c r="BG69" s="429" t="s">
        <v>628</v>
      </c>
      <c r="BH69" s="430" t="s">
        <v>628</v>
      </c>
      <c r="BI69" s="429" t="s">
        <v>628</v>
      </c>
      <c r="BJ69" s="430" t="s">
        <v>628</v>
      </c>
      <c r="BK69" s="402" t="s">
        <v>816</v>
      </c>
      <c r="BL69" s="247"/>
      <c r="BM69" s="247"/>
      <c r="BN69" s="247"/>
    </row>
    <row r="70" spans="1:66" ht="55.15" customHeight="1" x14ac:dyDescent="0.2">
      <c r="A70" s="421" t="s">
        <v>10</v>
      </c>
      <c r="B70" s="247"/>
      <c r="C70" s="395" t="s">
        <v>418</v>
      </c>
      <c r="D70" s="247"/>
      <c r="E70" s="396" t="s">
        <v>478</v>
      </c>
      <c r="F70" s="422"/>
      <c r="G70" s="396"/>
      <c r="H70" s="422"/>
      <c r="I70" s="395" t="s">
        <v>899</v>
      </c>
      <c r="J70" s="398"/>
      <c r="K70" s="395" t="s">
        <v>409</v>
      </c>
      <c r="L70" s="398"/>
      <c r="M70" s="395" t="s">
        <v>429</v>
      </c>
      <c r="N70" s="398"/>
      <c r="O70" s="177">
        <v>2001</v>
      </c>
      <c r="P70" s="399" t="s">
        <v>905</v>
      </c>
      <c r="Q70" s="178"/>
      <c r="R70" s="178"/>
      <c r="S70" s="180">
        <v>5790</v>
      </c>
      <c r="T70" s="178"/>
      <c r="U70" s="177"/>
      <c r="V70" s="178"/>
      <c r="W70" s="179">
        <v>10455</v>
      </c>
      <c r="X70" s="178"/>
      <c r="Y70" s="177" t="s">
        <v>360</v>
      </c>
      <c r="Z70" s="178"/>
      <c r="AA70" s="180">
        <v>8052</v>
      </c>
      <c r="AB70" s="178"/>
      <c r="AC70" s="177" t="s">
        <v>360</v>
      </c>
      <c r="AD70" s="178"/>
      <c r="AE70" s="179">
        <v>2825</v>
      </c>
      <c r="AF70" s="177" t="s">
        <v>360</v>
      </c>
      <c r="AG70" s="178"/>
      <c r="AH70" s="179">
        <v>4432</v>
      </c>
      <c r="AJ70" s="181"/>
      <c r="AK70" s="185" t="s">
        <v>430</v>
      </c>
      <c r="AL70" s="181"/>
      <c r="AM70" s="181"/>
      <c r="AN70" s="247"/>
      <c r="AO70" s="122" t="s">
        <v>360</v>
      </c>
      <c r="AP70" s="398"/>
      <c r="AQ70" s="179">
        <v>4375</v>
      </c>
      <c r="AR70" s="395" t="s">
        <v>360</v>
      </c>
      <c r="AS70" s="398"/>
      <c r="AT70" s="400">
        <v>7303</v>
      </c>
      <c r="AU70" s="401"/>
      <c r="AV70" s="122" t="s">
        <v>360</v>
      </c>
      <c r="AW70" s="400">
        <v>2975</v>
      </c>
      <c r="AX70" s="401"/>
      <c r="AY70" s="122" t="s">
        <v>360</v>
      </c>
      <c r="AZ70" s="179">
        <v>4040</v>
      </c>
      <c r="BA70" s="401"/>
      <c r="BB70" s="122" t="s">
        <v>360</v>
      </c>
      <c r="BC70" s="400">
        <v>600</v>
      </c>
      <c r="BD70" s="401"/>
      <c r="BE70" s="177" t="s">
        <v>360</v>
      </c>
      <c r="BF70" s="179">
        <v>75</v>
      </c>
      <c r="BG70" s="429" t="s">
        <v>628</v>
      </c>
      <c r="BH70" s="430" t="s">
        <v>628</v>
      </c>
      <c r="BI70" s="429" t="s">
        <v>628</v>
      </c>
      <c r="BJ70" s="430" t="s">
        <v>628</v>
      </c>
      <c r="BK70" s="402" t="s">
        <v>816</v>
      </c>
      <c r="BL70" s="247"/>
      <c r="BM70" s="247"/>
      <c r="BN70" s="247"/>
    </row>
    <row r="71" spans="1:66" s="266" customFormat="1" ht="55.15" customHeight="1" x14ac:dyDescent="0.2">
      <c r="A71" s="421" t="s">
        <v>10</v>
      </c>
      <c r="B71" s="420"/>
      <c r="C71" s="395" t="s">
        <v>418</v>
      </c>
      <c r="D71" s="420"/>
      <c r="E71" s="396" t="s">
        <v>870</v>
      </c>
      <c r="F71" s="422"/>
      <c r="G71" s="396"/>
      <c r="H71" s="422"/>
      <c r="I71" s="395" t="s">
        <v>900</v>
      </c>
      <c r="J71" s="398"/>
      <c r="K71" s="395" t="s">
        <v>479</v>
      </c>
      <c r="L71" s="398"/>
      <c r="M71" s="395" t="s">
        <v>429</v>
      </c>
      <c r="N71" s="398"/>
      <c r="O71" s="177">
        <v>2001</v>
      </c>
      <c r="P71" s="399" t="s">
        <v>906</v>
      </c>
      <c r="Q71" s="178"/>
      <c r="R71" s="178"/>
      <c r="S71" s="180" t="s">
        <v>370</v>
      </c>
      <c r="T71" s="178"/>
      <c r="U71" s="177"/>
      <c r="V71" s="178"/>
      <c r="W71" s="179" t="s">
        <v>628</v>
      </c>
      <c r="X71" s="178"/>
      <c r="Y71" s="177" t="s">
        <v>360</v>
      </c>
      <c r="Z71" s="178"/>
      <c r="AA71" s="179" t="s">
        <v>628</v>
      </c>
      <c r="AB71" s="178"/>
      <c r="AC71" s="177" t="s">
        <v>360</v>
      </c>
      <c r="AD71" s="178"/>
      <c r="AE71" s="179" t="s">
        <v>628</v>
      </c>
      <c r="AF71" s="177" t="s">
        <v>360</v>
      </c>
      <c r="AG71" s="178"/>
      <c r="AH71" s="179" t="s">
        <v>628</v>
      </c>
      <c r="AI71" s="264"/>
      <c r="AJ71" s="185"/>
      <c r="AK71" s="185" t="s">
        <v>430</v>
      </c>
      <c r="AL71" s="185"/>
      <c r="AM71" s="279"/>
      <c r="AN71" s="23"/>
      <c r="AO71" s="122" t="s">
        <v>360</v>
      </c>
      <c r="AP71" s="398"/>
      <c r="AQ71" s="179" t="s">
        <v>370</v>
      </c>
      <c r="AR71" s="395" t="s">
        <v>360</v>
      </c>
      <c r="AS71" s="398"/>
      <c r="AT71" s="400" t="s">
        <v>370</v>
      </c>
      <c r="AU71" s="401"/>
      <c r="AV71" s="122" t="s">
        <v>360</v>
      </c>
      <c r="AW71" s="400" t="s">
        <v>628</v>
      </c>
      <c r="AX71" s="401"/>
      <c r="AY71" s="122" t="s">
        <v>360</v>
      </c>
      <c r="AZ71" s="179" t="s">
        <v>628</v>
      </c>
      <c r="BA71" s="401"/>
      <c r="BB71" s="122" t="s">
        <v>360</v>
      </c>
      <c r="BC71" s="400">
        <v>1775</v>
      </c>
      <c r="BD71" s="401"/>
      <c r="BE71" s="177" t="s">
        <v>360</v>
      </c>
      <c r="BF71" s="179">
        <v>1950</v>
      </c>
      <c r="BG71" s="429" t="s">
        <v>628</v>
      </c>
      <c r="BH71" s="430" t="s">
        <v>628</v>
      </c>
      <c r="BI71" s="429" t="s">
        <v>628</v>
      </c>
      <c r="BJ71" s="430" t="s">
        <v>628</v>
      </c>
      <c r="BK71" s="402" t="s">
        <v>816</v>
      </c>
      <c r="BL71" s="424"/>
      <c r="BM71" s="424"/>
      <c r="BN71" s="424"/>
    </row>
    <row r="72" spans="1:66" ht="55.15" customHeight="1" x14ac:dyDescent="0.2">
      <c r="A72" s="421" t="s">
        <v>10</v>
      </c>
      <c r="B72" s="420"/>
      <c r="C72" s="395" t="s">
        <v>418</v>
      </c>
      <c r="D72" s="420"/>
      <c r="E72" s="396" t="s">
        <v>480</v>
      </c>
      <c r="F72" s="422"/>
      <c r="G72" s="396"/>
      <c r="H72" s="422"/>
      <c r="I72" s="405" t="s">
        <v>901</v>
      </c>
      <c r="J72" s="398"/>
      <c r="K72" s="395" t="s">
        <v>479</v>
      </c>
      <c r="L72" s="398"/>
      <c r="M72" s="395" t="s">
        <v>429</v>
      </c>
      <c r="N72" s="398"/>
      <c r="O72" s="177">
        <v>2001</v>
      </c>
      <c r="P72" s="399" t="s">
        <v>907</v>
      </c>
      <c r="Q72" s="178"/>
      <c r="R72" s="178"/>
      <c r="S72" s="180" t="s">
        <v>370</v>
      </c>
      <c r="T72" s="178"/>
      <c r="U72" s="177"/>
      <c r="V72" s="178"/>
      <c r="W72" s="179" t="s">
        <v>628</v>
      </c>
      <c r="X72" s="178"/>
      <c r="Y72" s="177" t="s">
        <v>360</v>
      </c>
      <c r="Z72" s="178"/>
      <c r="AA72" s="179" t="s">
        <v>628</v>
      </c>
      <c r="AB72" s="178"/>
      <c r="AC72" s="177" t="s">
        <v>360</v>
      </c>
      <c r="AD72" s="178"/>
      <c r="AE72" s="179" t="s">
        <v>628</v>
      </c>
      <c r="AF72" s="177" t="s">
        <v>360</v>
      </c>
      <c r="AG72" s="178"/>
      <c r="AH72" s="179" t="s">
        <v>628</v>
      </c>
      <c r="AI72" s="264"/>
      <c r="AJ72" s="185"/>
      <c r="AK72" s="185" t="s">
        <v>430</v>
      </c>
      <c r="AL72" s="185"/>
      <c r="AM72" s="279"/>
      <c r="AO72" s="122" t="s">
        <v>360</v>
      </c>
      <c r="AP72" s="398"/>
      <c r="AQ72" s="179" t="s">
        <v>370</v>
      </c>
      <c r="AR72" s="395" t="s">
        <v>360</v>
      </c>
      <c r="AS72" s="398"/>
      <c r="AT72" s="400" t="s">
        <v>370</v>
      </c>
      <c r="AU72" s="401"/>
      <c r="AV72" s="122" t="s">
        <v>360</v>
      </c>
      <c r="AW72" s="400" t="s">
        <v>628</v>
      </c>
      <c r="AX72" s="401"/>
      <c r="AY72" s="122" t="s">
        <v>360</v>
      </c>
      <c r="AZ72" s="179" t="s">
        <v>628</v>
      </c>
      <c r="BA72" s="401"/>
      <c r="BB72" s="122" t="s">
        <v>360</v>
      </c>
      <c r="BC72" s="400">
        <v>500</v>
      </c>
      <c r="BD72" s="401"/>
      <c r="BE72" s="177">
        <v>125</v>
      </c>
      <c r="BF72" s="179" t="s">
        <v>628</v>
      </c>
      <c r="BG72" s="429" t="s">
        <v>628</v>
      </c>
      <c r="BH72" s="430" t="s">
        <v>628</v>
      </c>
      <c r="BI72" s="429" t="s">
        <v>628</v>
      </c>
      <c r="BJ72" s="430" t="s">
        <v>628</v>
      </c>
      <c r="BK72" s="402" t="s">
        <v>816</v>
      </c>
      <c r="BL72" s="424"/>
      <c r="BM72" s="424"/>
      <c r="BN72" s="424"/>
    </row>
    <row r="73" spans="1:66" ht="55.15" customHeight="1" x14ac:dyDescent="0.2">
      <c r="A73" s="421" t="s">
        <v>10</v>
      </c>
      <c r="B73" s="420"/>
      <c r="C73" s="395" t="s">
        <v>481</v>
      </c>
      <c r="D73" s="420"/>
      <c r="E73" s="396" t="s">
        <v>482</v>
      </c>
      <c r="F73" s="422"/>
      <c r="G73" s="396"/>
      <c r="H73" s="422"/>
      <c r="I73" s="395" t="s">
        <v>483</v>
      </c>
      <c r="J73" s="398"/>
      <c r="K73" s="395" t="s">
        <v>484</v>
      </c>
      <c r="L73" s="398"/>
      <c r="M73" s="395" t="s">
        <v>481</v>
      </c>
      <c r="N73" s="398"/>
      <c r="O73" s="177"/>
      <c r="P73" s="399" t="s">
        <v>485</v>
      </c>
      <c r="Q73" s="178"/>
      <c r="R73" s="178"/>
      <c r="S73" s="180"/>
      <c r="T73" s="178"/>
      <c r="U73" s="177"/>
      <c r="V73" s="178"/>
      <c r="W73" s="179"/>
      <c r="X73" s="178"/>
      <c r="Y73" s="178">
        <v>3609</v>
      </c>
      <c r="Z73" s="178"/>
      <c r="AA73" s="180">
        <v>113350</v>
      </c>
      <c r="AB73" s="178"/>
      <c r="AC73" s="177">
        <v>3663</v>
      </c>
      <c r="AD73" s="178"/>
      <c r="AE73" s="179">
        <v>124670</v>
      </c>
      <c r="AF73" s="177">
        <v>2944</v>
      </c>
      <c r="AG73" s="178"/>
      <c r="AH73" s="179">
        <v>131290</v>
      </c>
      <c r="AI73" s="263"/>
      <c r="AJ73" s="185"/>
      <c r="AO73" s="122">
        <v>1026</v>
      </c>
      <c r="AP73" s="398"/>
      <c r="AQ73" s="179">
        <v>107150</v>
      </c>
      <c r="AR73" s="395">
        <v>1020</v>
      </c>
      <c r="AS73" s="398"/>
      <c r="AT73" s="400">
        <v>118425</v>
      </c>
      <c r="AU73" s="401"/>
      <c r="AV73" s="122" t="s">
        <v>887</v>
      </c>
      <c r="AW73" s="400">
        <v>64900</v>
      </c>
      <c r="AX73" s="401"/>
      <c r="AY73" s="122" t="s">
        <v>888</v>
      </c>
      <c r="AZ73" s="179">
        <v>65849</v>
      </c>
      <c r="BA73" s="401"/>
      <c r="BB73" s="122" t="s">
        <v>360</v>
      </c>
      <c r="BC73" s="400" t="s">
        <v>628</v>
      </c>
      <c r="BD73" s="401"/>
      <c r="BE73" s="177" t="s">
        <v>360</v>
      </c>
      <c r="BF73" s="179" t="s">
        <v>628</v>
      </c>
      <c r="BG73" s="179" t="s">
        <v>360</v>
      </c>
      <c r="BH73" s="179" t="s">
        <v>916</v>
      </c>
      <c r="BI73" s="179" t="s">
        <v>360</v>
      </c>
      <c r="BJ73" s="179" t="s">
        <v>916</v>
      </c>
      <c r="BK73" s="402" t="s">
        <v>797</v>
      </c>
    </row>
    <row r="74" spans="1:66" ht="55.15" customHeight="1" x14ac:dyDescent="0.2">
      <c r="A74" s="421" t="s">
        <v>10</v>
      </c>
      <c r="B74" s="420"/>
      <c r="C74" s="395" t="s">
        <v>481</v>
      </c>
      <c r="D74" s="420"/>
      <c r="E74" s="396" t="s">
        <v>486</v>
      </c>
      <c r="F74" s="422"/>
      <c r="G74" s="396"/>
      <c r="H74" s="422"/>
      <c r="I74" s="395" t="s">
        <v>302</v>
      </c>
      <c r="J74" s="398"/>
      <c r="K74" s="395" t="s">
        <v>487</v>
      </c>
      <c r="L74" s="398"/>
      <c r="M74" s="395" t="s">
        <v>481</v>
      </c>
      <c r="N74" s="398"/>
      <c r="O74" s="177" t="s">
        <v>488</v>
      </c>
      <c r="P74" s="399" t="s">
        <v>489</v>
      </c>
      <c r="Q74" s="178"/>
      <c r="R74" s="178"/>
      <c r="S74" s="180"/>
      <c r="T74" s="178"/>
      <c r="U74" s="177"/>
      <c r="V74" s="178"/>
      <c r="W74" s="179"/>
      <c r="X74" s="178"/>
      <c r="Y74" s="178">
        <v>1694</v>
      </c>
      <c r="Z74" s="178"/>
      <c r="AA74" s="180">
        <v>135312</v>
      </c>
      <c r="AB74" s="178"/>
      <c r="AC74" s="177">
        <v>1516</v>
      </c>
      <c r="AD74" s="178"/>
      <c r="AE74" s="179">
        <v>119512</v>
      </c>
      <c r="AF74" s="177">
        <v>1393</v>
      </c>
      <c r="AG74" s="178"/>
      <c r="AH74" s="179">
        <v>119749</v>
      </c>
      <c r="AI74" s="263"/>
      <c r="AJ74" s="185"/>
      <c r="AO74" s="122">
        <v>1548</v>
      </c>
      <c r="AP74" s="398"/>
      <c r="AQ74" s="179">
        <v>126936</v>
      </c>
      <c r="AR74" s="395">
        <v>1357</v>
      </c>
      <c r="AS74" s="398"/>
      <c r="AT74" s="400">
        <v>111274</v>
      </c>
      <c r="AU74" s="401"/>
      <c r="AV74" s="122" t="s">
        <v>889</v>
      </c>
      <c r="AW74" s="400">
        <v>246089</v>
      </c>
      <c r="AX74" s="401"/>
      <c r="AY74" s="122" t="s">
        <v>889</v>
      </c>
      <c r="AZ74" s="179">
        <v>289173</v>
      </c>
      <c r="BA74" s="401"/>
      <c r="BB74" s="122" t="s">
        <v>889</v>
      </c>
      <c r="BC74" s="425">
        <v>209138.36</v>
      </c>
      <c r="BD74" s="401"/>
      <c r="BE74" s="177" t="s">
        <v>889</v>
      </c>
      <c r="BF74" s="179">
        <v>178541.09</v>
      </c>
      <c r="BG74" s="177" t="s">
        <v>889</v>
      </c>
      <c r="BH74" s="179">
        <v>521914</v>
      </c>
      <c r="BI74" s="177" t="s">
        <v>889</v>
      </c>
      <c r="BJ74" s="179">
        <v>444401</v>
      </c>
      <c r="BK74" s="402" t="s">
        <v>797</v>
      </c>
    </row>
    <row r="75" spans="1:66" ht="55.15" customHeight="1" x14ac:dyDescent="0.2">
      <c r="A75" s="421" t="s">
        <v>10</v>
      </c>
      <c r="B75" s="420"/>
      <c r="C75" s="395" t="s">
        <v>481</v>
      </c>
      <c r="D75" s="420"/>
      <c r="E75" s="396" t="s">
        <v>490</v>
      </c>
      <c r="F75" s="422"/>
      <c r="G75" s="396" t="s">
        <v>491</v>
      </c>
      <c r="H75" s="422"/>
      <c r="I75" s="395" t="s">
        <v>492</v>
      </c>
      <c r="J75" s="398"/>
      <c r="K75" s="395" t="s">
        <v>493</v>
      </c>
      <c r="L75" s="398"/>
      <c r="M75" s="395" t="s">
        <v>481</v>
      </c>
      <c r="N75" s="398"/>
      <c r="O75" s="177" t="s">
        <v>494</v>
      </c>
      <c r="P75" s="399" t="s">
        <v>495</v>
      </c>
      <c r="Q75" s="178"/>
      <c r="R75" s="178"/>
      <c r="S75" s="180"/>
      <c r="T75" s="178"/>
      <c r="U75" s="177"/>
      <c r="V75" s="178"/>
      <c r="W75" s="179"/>
      <c r="X75" s="178"/>
      <c r="Y75" s="178">
        <v>3</v>
      </c>
      <c r="Z75" s="178"/>
      <c r="AA75" s="180">
        <v>1550</v>
      </c>
      <c r="AB75" s="178"/>
      <c r="AC75" s="177">
        <v>6</v>
      </c>
      <c r="AD75" s="178"/>
      <c r="AE75" s="179">
        <v>4133</v>
      </c>
      <c r="AF75" s="177">
        <v>1</v>
      </c>
      <c r="AG75" s="178"/>
      <c r="AH75" s="179">
        <v>490</v>
      </c>
      <c r="AI75" s="263"/>
      <c r="AJ75" s="185"/>
      <c r="AO75" s="122">
        <v>2</v>
      </c>
      <c r="AP75" s="398"/>
      <c r="AQ75" s="179">
        <v>1800</v>
      </c>
      <c r="AR75" s="395">
        <v>3</v>
      </c>
      <c r="AS75" s="398"/>
      <c r="AT75" s="400">
        <v>4500</v>
      </c>
      <c r="AU75" s="401"/>
      <c r="AV75" s="122">
        <v>4</v>
      </c>
      <c r="AW75" s="400">
        <v>4524.3</v>
      </c>
      <c r="AX75" s="401"/>
      <c r="AY75" s="122" t="s">
        <v>890</v>
      </c>
      <c r="AZ75" s="179">
        <v>0</v>
      </c>
      <c r="BA75" s="401"/>
      <c r="BB75" s="122" t="s">
        <v>890</v>
      </c>
      <c r="BC75" s="400">
        <v>0</v>
      </c>
      <c r="BD75" s="401"/>
      <c r="BE75" s="177">
        <v>5</v>
      </c>
      <c r="BF75" s="179">
        <v>6485.4</v>
      </c>
      <c r="BG75" s="179">
        <v>2</v>
      </c>
      <c r="BH75" s="179">
        <v>2000</v>
      </c>
      <c r="BI75" s="179">
        <v>0</v>
      </c>
      <c r="BJ75" s="179">
        <v>0</v>
      </c>
      <c r="BK75" s="402" t="s">
        <v>816</v>
      </c>
    </row>
    <row r="76" spans="1:66" ht="64.900000000000006" customHeight="1" x14ac:dyDescent="0.2">
      <c r="A76" s="421" t="s">
        <v>10</v>
      </c>
      <c r="B76" s="420"/>
      <c r="C76" s="395" t="s">
        <v>11</v>
      </c>
      <c r="D76" s="420"/>
      <c r="E76" s="396" t="s">
        <v>25</v>
      </c>
      <c r="F76" s="422"/>
      <c r="G76" s="396" t="s">
        <v>13</v>
      </c>
      <c r="H76" s="422"/>
      <c r="I76" s="405">
        <v>375</v>
      </c>
      <c r="J76" s="398"/>
      <c r="K76" s="395" t="s">
        <v>12</v>
      </c>
      <c r="L76" s="398"/>
      <c r="M76" s="395" t="s">
        <v>22</v>
      </c>
      <c r="N76" s="398"/>
      <c r="O76" s="177">
        <v>2008</v>
      </c>
      <c r="P76" s="399" t="s">
        <v>496</v>
      </c>
      <c r="Q76" s="191">
        <v>1632</v>
      </c>
      <c r="R76" s="178"/>
      <c r="S76" s="190">
        <v>612000</v>
      </c>
      <c r="T76" s="178"/>
      <c r="U76" s="191">
        <v>1703</v>
      </c>
      <c r="V76" s="178"/>
      <c r="W76" s="179">
        <v>2779296</v>
      </c>
      <c r="X76" s="178"/>
      <c r="Y76" s="191">
        <v>123</v>
      </c>
      <c r="Z76" s="178"/>
      <c r="AA76" s="190">
        <v>36093</v>
      </c>
      <c r="AB76" s="178"/>
      <c r="AC76" s="191">
        <v>88</v>
      </c>
      <c r="AD76" s="178"/>
      <c r="AE76" s="179">
        <v>19742</v>
      </c>
      <c r="AF76" s="191">
        <v>1697</v>
      </c>
      <c r="AG76" s="178"/>
      <c r="AH76" s="179">
        <v>654537</v>
      </c>
      <c r="AI76" s="264"/>
      <c r="AJ76" s="185"/>
      <c r="AK76" s="185" t="s">
        <v>717</v>
      </c>
      <c r="AL76" s="185"/>
      <c r="AM76" s="279"/>
      <c r="AO76" s="426">
        <v>128</v>
      </c>
      <c r="AP76" s="398"/>
      <c r="AQ76" s="179">
        <v>34655</v>
      </c>
      <c r="AR76" s="427">
        <v>83</v>
      </c>
      <c r="AS76" s="398"/>
      <c r="AT76" s="400">
        <v>21972</v>
      </c>
      <c r="AU76" s="401"/>
      <c r="AV76" s="122">
        <v>737</v>
      </c>
      <c r="AW76" s="400">
        <v>195100</v>
      </c>
      <c r="AX76" s="401"/>
      <c r="AY76" s="122">
        <v>90</v>
      </c>
      <c r="AZ76" s="179">
        <v>23824</v>
      </c>
      <c r="BA76" s="401"/>
      <c r="BB76" s="122">
        <v>77</v>
      </c>
      <c r="BC76" s="400">
        <v>28875</v>
      </c>
      <c r="BD76" s="401"/>
      <c r="BE76" s="177">
        <v>1904</v>
      </c>
      <c r="BF76" s="179">
        <v>714000</v>
      </c>
      <c r="BG76" s="431">
        <v>103</v>
      </c>
      <c r="BH76" s="179">
        <v>38625</v>
      </c>
      <c r="BI76" s="431">
        <v>120</v>
      </c>
      <c r="BJ76" s="179">
        <v>45000</v>
      </c>
      <c r="BK76" s="402" t="s">
        <v>823</v>
      </c>
    </row>
    <row r="77" spans="1:66" ht="64.900000000000006" customHeight="1" x14ac:dyDescent="0.2">
      <c r="A77" s="421" t="s">
        <v>10</v>
      </c>
      <c r="B77" s="420"/>
      <c r="C77" s="395" t="s">
        <v>11</v>
      </c>
      <c r="D77" s="420"/>
      <c r="E77" s="396" t="s">
        <v>25</v>
      </c>
      <c r="F77" s="422"/>
      <c r="G77" s="396" t="s">
        <v>14</v>
      </c>
      <c r="H77" s="422"/>
      <c r="I77" s="405">
        <v>375</v>
      </c>
      <c r="J77" s="398"/>
      <c r="K77" s="395" t="s">
        <v>12</v>
      </c>
      <c r="L77" s="398"/>
      <c r="M77" s="395" t="s">
        <v>22</v>
      </c>
      <c r="N77" s="398"/>
      <c r="O77" s="177">
        <v>2008</v>
      </c>
      <c r="P77" s="399" t="s">
        <v>496</v>
      </c>
      <c r="Q77" s="191">
        <v>1856</v>
      </c>
      <c r="R77" s="178"/>
      <c r="S77" s="190">
        <v>696000</v>
      </c>
      <c r="T77" s="178"/>
      <c r="U77" s="191">
        <v>1665</v>
      </c>
      <c r="V77" s="178"/>
      <c r="W77" s="179">
        <v>3090240</v>
      </c>
      <c r="X77" s="178"/>
      <c r="Y77" s="191">
        <v>77</v>
      </c>
      <c r="Z77" s="178"/>
      <c r="AA77" s="190">
        <v>22595</v>
      </c>
      <c r="AB77" s="178"/>
      <c r="AC77" s="191">
        <v>47</v>
      </c>
      <c r="AD77" s="178"/>
      <c r="AE77" s="179">
        <v>10544</v>
      </c>
      <c r="AF77" s="191">
        <v>1474</v>
      </c>
      <c r="AG77" s="178"/>
      <c r="AH77" s="179">
        <v>568525</v>
      </c>
      <c r="AI77" s="264"/>
      <c r="AJ77" s="185"/>
      <c r="AK77" s="185"/>
      <c r="AL77" s="185"/>
      <c r="AM77" s="279" t="s">
        <v>27</v>
      </c>
      <c r="AO77" s="426">
        <v>57</v>
      </c>
      <c r="AP77" s="398"/>
      <c r="AQ77" s="179">
        <v>15431</v>
      </c>
      <c r="AR77" s="427">
        <v>13</v>
      </c>
      <c r="AS77" s="398"/>
      <c r="AT77" s="400">
        <v>3440</v>
      </c>
      <c r="AU77" s="401"/>
      <c r="AV77" s="122">
        <v>530</v>
      </c>
      <c r="AW77" s="400">
        <v>140301</v>
      </c>
      <c r="AX77" s="401"/>
      <c r="AY77" s="122">
        <v>16</v>
      </c>
      <c r="AZ77" s="179">
        <v>4235</v>
      </c>
      <c r="BA77" s="401"/>
      <c r="BB77" s="122">
        <v>9</v>
      </c>
      <c r="BC77" s="400">
        <v>3375</v>
      </c>
      <c r="BD77" s="401"/>
      <c r="BE77" s="177">
        <v>1096</v>
      </c>
      <c r="BF77" s="179">
        <v>411000</v>
      </c>
      <c r="BG77" s="431">
        <v>6</v>
      </c>
      <c r="BH77" s="179">
        <v>2250</v>
      </c>
      <c r="BI77" s="431">
        <v>7</v>
      </c>
      <c r="BJ77" s="179">
        <v>2625</v>
      </c>
      <c r="BK77" s="402" t="s">
        <v>823</v>
      </c>
    </row>
    <row r="78" spans="1:66" ht="64.900000000000006" customHeight="1" x14ac:dyDescent="0.2">
      <c r="A78" s="421" t="s">
        <v>10</v>
      </c>
      <c r="B78" s="420"/>
      <c r="C78" s="395" t="s">
        <v>11</v>
      </c>
      <c r="D78" s="420"/>
      <c r="E78" s="396" t="s">
        <v>25</v>
      </c>
      <c r="F78" s="422"/>
      <c r="G78" s="396" t="s">
        <v>15</v>
      </c>
      <c r="H78" s="422"/>
      <c r="I78" s="405">
        <v>75</v>
      </c>
      <c r="J78" s="398"/>
      <c r="K78" s="395" t="s">
        <v>12</v>
      </c>
      <c r="L78" s="398"/>
      <c r="M78" s="395" t="s">
        <v>22</v>
      </c>
      <c r="N78" s="398"/>
      <c r="O78" s="177">
        <v>2008</v>
      </c>
      <c r="P78" s="399" t="s">
        <v>496</v>
      </c>
      <c r="Q78" s="191">
        <v>3586</v>
      </c>
      <c r="R78" s="178"/>
      <c r="S78" s="190">
        <v>268950</v>
      </c>
      <c r="T78" s="178"/>
      <c r="U78" s="191">
        <v>4089</v>
      </c>
      <c r="V78" s="178"/>
      <c r="W78" s="179">
        <v>14663154</v>
      </c>
      <c r="X78" s="178"/>
      <c r="Y78" s="191">
        <v>535</v>
      </c>
      <c r="Z78" s="178"/>
      <c r="AA78" s="190">
        <v>31398</v>
      </c>
      <c r="AB78" s="178"/>
      <c r="AC78" s="191">
        <v>468</v>
      </c>
      <c r="AD78" s="178"/>
      <c r="AE78" s="179">
        <v>21000</v>
      </c>
      <c r="AF78" s="191">
        <v>4842</v>
      </c>
      <c r="AG78" s="178"/>
      <c r="AH78" s="179">
        <v>373514</v>
      </c>
      <c r="AI78" s="264"/>
      <c r="AJ78" s="185"/>
      <c r="AK78" s="185"/>
      <c r="AL78" s="185"/>
      <c r="AM78" s="279" t="s">
        <v>28</v>
      </c>
      <c r="AO78" s="426">
        <v>319</v>
      </c>
      <c r="AP78" s="398"/>
      <c r="AQ78" s="179">
        <v>17270</v>
      </c>
      <c r="AR78" s="427">
        <v>301</v>
      </c>
      <c r="AS78" s="398"/>
      <c r="AT78" s="400">
        <v>15940</v>
      </c>
      <c r="AU78" s="401"/>
      <c r="AV78" s="122">
        <v>5025</v>
      </c>
      <c r="AW78" s="400">
        <v>266073</v>
      </c>
      <c r="AX78" s="401"/>
      <c r="AY78" s="122">
        <v>191</v>
      </c>
      <c r="AZ78" s="179">
        <v>10113</v>
      </c>
      <c r="BA78" s="401"/>
      <c r="BB78" s="122">
        <v>364</v>
      </c>
      <c r="BC78" s="400">
        <v>27300</v>
      </c>
      <c r="BD78" s="401"/>
      <c r="BE78" s="177">
        <v>5363</v>
      </c>
      <c r="BF78" s="179">
        <v>402225</v>
      </c>
      <c r="BG78" s="431">
        <v>448</v>
      </c>
      <c r="BH78" s="179">
        <v>33600</v>
      </c>
      <c r="BI78" s="431">
        <v>509</v>
      </c>
      <c r="BJ78" s="179">
        <v>38175</v>
      </c>
      <c r="BK78" s="402" t="s">
        <v>823</v>
      </c>
    </row>
    <row r="79" spans="1:66" ht="64.900000000000006" customHeight="1" x14ac:dyDescent="0.2">
      <c r="A79" s="421" t="s">
        <v>10</v>
      </c>
      <c r="B79" s="420"/>
      <c r="C79" s="395" t="s">
        <v>11</v>
      </c>
      <c r="D79" s="420"/>
      <c r="E79" s="396" t="s">
        <v>25</v>
      </c>
      <c r="F79" s="422"/>
      <c r="G79" s="396" t="s">
        <v>16</v>
      </c>
      <c r="H79" s="422"/>
      <c r="I79" s="405">
        <v>75</v>
      </c>
      <c r="J79" s="398"/>
      <c r="K79" s="395" t="s">
        <v>12</v>
      </c>
      <c r="L79" s="398"/>
      <c r="M79" s="395" t="s">
        <v>22</v>
      </c>
      <c r="N79" s="398"/>
      <c r="O79" s="177">
        <v>2008</v>
      </c>
      <c r="P79" s="399" t="s">
        <v>496</v>
      </c>
      <c r="Q79" s="191">
        <v>1535</v>
      </c>
      <c r="R79" s="178"/>
      <c r="S79" s="190">
        <v>115125</v>
      </c>
      <c r="T79" s="178"/>
      <c r="U79" s="191">
        <v>1372</v>
      </c>
      <c r="V79" s="178"/>
      <c r="W79" s="179">
        <v>2106020</v>
      </c>
      <c r="X79" s="178"/>
      <c r="Y79" s="191">
        <v>134</v>
      </c>
      <c r="Z79" s="178"/>
      <c r="AA79" s="190">
        <v>7864</v>
      </c>
      <c r="AB79" s="178"/>
      <c r="AC79" s="191">
        <v>302</v>
      </c>
      <c r="AD79" s="178"/>
      <c r="AE79" s="179">
        <v>13550</v>
      </c>
      <c r="AF79" s="191">
        <v>1490</v>
      </c>
      <c r="AG79" s="178"/>
      <c r="AH79" s="179">
        <v>114939</v>
      </c>
      <c r="AI79" s="264"/>
      <c r="AJ79" s="185"/>
      <c r="AK79" s="185"/>
      <c r="AL79" s="185"/>
      <c r="AM79" s="279"/>
      <c r="AO79" s="426">
        <v>203</v>
      </c>
      <c r="AP79" s="398"/>
      <c r="AQ79" s="179">
        <v>10990</v>
      </c>
      <c r="AR79" s="427">
        <v>91</v>
      </c>
      <c r="AS79" s="398"/>
      <c r="AT79" s="400">
        <v>4820</v>
      </c>
      <c r="AU79" s="401"/>
      <c r="AV79" s="122">
        <v>1144</v>
      </c>
      <c r="AW79" s="400">
        <v>60574</v>
      </c>
      <c r="AX79" s="401"/>
      <c r="AY79" s="122">
        <v>18</v>
      </c>
      <c r="AZ79" s="179">
        <v>953</v>
      </c>
      <c r="BA79" s="401"/>
      <c r="BB79" s="122">
        <v>10</v>
      </c>
      <c r="BC79" s="400">
        <v>750</v>
      </c>
      <c r="BD79" s="401"/>
      <c r="BE79" s="177">
        <v>882</v>
      </c>
      <c r="BF79" s="179">
        <v>66150</v>
      </c>
      <c r="BG79" s="431">
        <v>19</v>
      </c>
      <c r="BH79" s="179">
        <v>1425</v>
      </c>
      <c r="BI79" s="431">
        <v>15</v>
      </c>
      <c r="BJ79" s="179">
        <v>1125</v>
      </c>
      <c r="BK79" s="402" t="s">
        <v>823</v>
      </c>
    </row>
    <row r="80" spans="1:66" ht="64.900000000000006" customHeight="1" x14ac:dyDescent="0.2">
      <c r="A80" s="421" t="s">
        <v>10</v>
      </c>
      <c r="B80" s="420"/>
      <c r="C80" s="395" t="s">
        <v>11</v>
      </c>
      <c r="D80" s="420"/>
      <c r="E80" s="396" t="s">
        <v>25</v>
      </c>
      <c r="F80" s="422"/>
      <c r="G80" s="396" t="s">
        <v>17</v>
      </c>
      <c r="H80" s="422"/>
      <c r="I80" s="405">
        <v>375</v>
      </c>
      <c r="J80" s="398"/>
      <c r="K80" s="395" t="s">
        <v>12</v>
      </c>
      <c r="L80" s="398"/>
      <c r="M80" s="395" t="s">
        <v>22</v>
      </c>
      <c r="N80" s="398"/>
      <c r="O80" s="177">
        <v>2008</v>
      </c>
      <c r="P80" s="399" t="s">
        <v>496</v>
      </c>
      <c r="Q80" s="191">
        <v>2015</v>
      </c>
      <c r="R80" s="178"/>
      <c r="S80" s="190">
        <v>755625</v>
      </c>
      <c r="T80" s="178"/>
      <c r="U80" s="191">
        <v>1927</v>
      </c>
      <c r="V80" s="178"/>
      <c r="W80" s="179">
        <v>3882905</v>
      </c>
      <c r="X80" s="178"/>
      <c r="Y80" s="191">
        <v>196</v>
      </c>
      <c r="Z80" s="178"/>
      <c r="AA80" s="190">
        <v>57514</v>
      </c>
      <c r="AB80" s="178"/>
      <c r="AC80" s="191">
        <v>133</v>
      </c>
      <c r="AD80" s="178"/>
      <c r="AE80" s="179">
        <v>29838</v>
      </c>
      <c r="AF80" s="191">
        <v>2134</v>
      </c>
      <c r="AG80" s="178"/>
      <c r="AH80" s="179">
        <v>823088</v>
      </c>
      <c r="AI80" s="264"/>
      <c r="AJ80" s="185"/>
      <c r="AK80" s="185"/>
      <c r="AL80" s="185"/>
      <c r="AM80" s="279"/>
      <c r="AO80" s="426">
        <v>151</v>
      </c>
      <c r="AP80" s="398"/>
      <c r="AQ80" s="179">
        <v>40880</v>
      </c>
      <c r="AR80" s="427">
        <v>92</v>
      </c>
      <c r="AS80" s="398"/>
      <c r="AT80" s="400">
        <v>24350</v>
      </c>
      <c r="AU80" s="401"/>
      <c r="AV80" s="122">
        <v>2047</v>
      </c>
      <c r="AW80" s="400">
        <v>108306</v>
      </c>
      <c r="AX80" s="401"/>
      <c r="AY80" s="122">
        <v>91</v>
      </c>
      <c r="AZ80" s="179">
        <v>4818</v>
      </c>
      <c r="BA80" s="401"/>
      <c r="BB80" s="122">
        <v>61</v>
      </c>
      <c r="BC80" s="400">
        <v>22875</v>
      </c>
      <c r="BD80" s="401"/>
      <c r="BE80" s="177">
        <v>2015</v>
      </c>
      <c r="BF80" s="179">
        <v>755625</v>
      </c>
      <c r="BG80" s="431">
        <v>102</v>
      </c>
      <c r="BH80" s="179">
        <v>38250</v>
      </c>
      <c r="BI80" s="431">
        <v>98</v>
      </c>
      <c r="BJ80" s="179">
        <v>36750</v>
      </c>
      <c r="BK80" s="402" t="s">
        <v>823</v>
      </c>
    </row>
    <row r="81" spans="1:66" ht="64.900000000000006" customHeight="1" x14ac:dyDescent="0.2">
      <c r="A81" s="421" t="s">
        <v>10</v>
      </c>
      <c r="B81" s="420"/>
      <c r="C81" s="395" t="s">
        <v>11</v>
      </c>
      <c r="D81" s="420"/>
      <c r="E81" s="396" t="s">
        <v>25</v>
      </c>
      <c r="F81" s="422"/>
      <c r="G81" s="396" t="s">
        <v>824</v>
      </c>
      <c r="H81" s="422"/>
      <c r="I81" s="405" t="s">
        <v>825</v>
      </c>
      <c r="J81" s="398"/>
      <c r="K81" s="395" t="s">
        <v>12</v>
      </c>
      <c r="L81" s="398"/>
      <c r="M81" s="395" t="s">
        <v>22</v>
      </c>
      <c r="N81" s="398"/>
      <c r="O81" s="177">
        <v>2008</v>
      </c>
      <c r="P81" s="399" t="s">
        <v>496</v>
      </c>
      <c r="Q81" s="178">
        <v>735</v>
      </c>
      <c r="R81" s="178"/>
      <c r="S81" s="190">
        <v>55125</v>
      </c>
      <c r="T81" s="178"/>
      <c r="U81" s="178">
        <v>2</v>
      </c>
      <c r="V81" s="178"/>
      <c r="W81" s="179">
        <v>1470</v>
      </c>
      <c r="X81" s="178"/>
      <c r="Y81" s="178">
        <v>19</v>
      </c>
      <c r="Z81" s="178"/>
      <c r="AA81" s="190">
        <v>1115</v>
      </c>
      <c r="AB81" s="178"/>
      <c r="AC81" s="178">
        <v>18</v>
      </c>
      <c r="AD81" s="178"/>
      <c r="AE81" s="179">
        <v>808</v>
      </c>
      <c r="AF81" s="178">
        <v>100</v>
      </c>
      <c r="AG81" s="178"/>
      <c r="AH81" s="179">
        <v>7714</v>
      </c>
      <c r="AI81" s="264"/>
      <c r="AJ81" s="185"/>
      <c r="AK81" s="185"/>
      <c r="AL81" s="185"/>
      <c r="AM81" s="279"/>
      <c r="AO81" s="159">
        <v>41</v>
      </c>
      <c r="AP81" s="398"/>
      <c r="AQ81" s="179">
        <v>2220</v>
      </c>
      <c r="AR81" s="432">
        <v>26</v>
      </c>
      <c r="AS81" s="398"/>
      <c r="AT81" s="400">
        <v>1375</v>
      </c>
      <c r="AU81" s="401"/>
      <c r="AV81" s="122">
        <v>56</v>
      </c>
      <c r="AW81" s="400">
        <v>2965</v>
      </c>
      <c r="AX81" s="401"/>
      <c r="AY81" s="122">
        <v>10</v>
      </c>
      <c r="AZ81" s="179">
        <v>530</v>
      </c>
      <c r="BA81" s="401"/>
      <c r="BB81" s="122">
        <v>15</v>
      </c>
      <c r="BC81" s="400">
        <v>2625</v>
      </c>
      <c r="BD81" s="401"/>
      <c r="BE81" s="177">
        <v>157</v>
      </c>
      <c r="BF81" s="179">
        <v>58875</v>
      </c>
      <c r="BG81" s="436" t="s">
        <v>917</v>
      </c>
      <c r="BH81" s="267" t="s">
        <v>918</v>
      </c>
      <c r="BI81" s="436" t="s">
        <v>919</v>
      </c>
      <c r="BJ81" s="267" t="s">
        <v>920</v>
      </c>
      <c r="BK81" s="402" t="s">
        <v>823</v>
      </c>
    </row>
    <row r="82" spans="1:66" ht="64.900000000000006" customHeight="1" x14ac:dyDescent="0.2">
      <c r="A82" s="421" t="s">
        <v>10</v>
      </c>
      <c r="B82" s="420"/>
      <c r="C82" s="395" t="s">
        <v>11</v>
      </c>
      <c r="D82" s="420"/>
      <c r="E82" s="396" t="s">
        <v>25</v>
      </c>
      <c r="F82" s="422"/>
      <c r="G82" s="396" t="s">
        <v>747</v>
      </c>
      <c r="H82" s="422"/>
      <c r="I82" s="405">
        <v>75</v>
      </c>
      <c r="J82" s="398"/>
      <c r="K82" s="395" t="s">
        <v>12</v>
      </c>
      <c r="L82" s="398"/>
      <c r="M82" s="395" t="s">
        <v>22</v>
      </c>
      <c r="N82" s="398"/>
      <c r="O82" s="177">
        <v>2008</v>
      </c>
      <c r="P82" s="399" t="s">
        <v>496</v>
      </c>
      <c r="Q82" s="178">
        <v>106</v>
      </c>
      <c r="R82" s="178"/>
      <c r="S82" s="190">
        <v>7950</v>
      </c>
      <c r="T82" s="178"/>
      <c r="U82" s="178">
        <v>1874</v>
      </c>
      <c r="V82" s="178"/>
      <c r="W82" s="179">
        <v>198644</v>
      </c>
      <c r="X82" s="178"/>
      <c r="Y82" s="178">
        <v>19</v>
      </c>
      <c r="Z82" s="178"/>
      <c r="AA82" s="190">
        <v>1115</v>
      </c>
      <c r="AB82" s="178"/>
      <c r="AC82" s="178">
        <v>11</v>
      </c>
      <c r="AD82" s="178"/>
      <c r="AE82" s="179">
        <v>494</v>
      </c>
      <c r="AF82" s="178">
        <v>204</v>
      </c>
      <c r="AG82" s="178"/>
      <c r="AH82" s="179">
        <v>15737</v>
      </c>
      <c r="AI82" s="264"/>
      <c r="AJ82" s="185"/>
      <c r="AK82" s="185"/>
      <c r="AL82" s="185"/>
      <c r="AM82" s="279"/>
      <c r="AO82" s="159">
        <v>7</v>
      </c>
      <c r="AP82" s="398"/>
      <c r="AQ82" s="179">
        <v>380</v>
      </c>
      <c r="AR82" s="432">
        <v>3</v>
      </c>
      <c r="AS82" s="398"/>
      <c r="AT82" s="400">
        <v>160</v>
      </c>
      <c r="AU82" s="401"/>
      <c r="AV82" s="122">
        <v>116</v>
      </c>
      <c r="AW82" s="400">
        <v>6142</v>
      </c>
      <c r="AX82" s="401"/>
      <c r="AY82" s="122">
        <v>4</v>
      </c>
      <c r="AZ82" s="179">
        <v>212</v>
      </c>
      <c r="BA82" s="401"/>
      <c r="BB82" s="122">
        <v>2</v>
      </c>
      <c r="BC82" s="400">
        <v>150</v>
      </c>
      <c r="BD82" s="401"/>
      <c r="BE82" s="177">
        <v>90</v>
      </c>
      <c r="BF82" s="179">
        <v>6750</v>
      </c>
      <c r="BG82" s="431">
        <v>0</v>
      </c>
      <c r="BH82" s="179">
        <v>0</v>
      </c>
      <c r="BI82" s="431">
        <v>0</v>
      </c>
      <c r="BJ82" s="179">
        <v>0</v>
      </c>
      <c r="BK82" s="402" t="s">
        <v>823</v>
      </c>
    </row>
    <row r="83" spans="1:66" ht="64.900000000000006" customHeight="1" x14ac:dyDescent="0.2">
      <c r="A83" s="421" t="s">
        <v>10</v>
      </c>
      <c r="B83" s="420"/>
      <c r="C83" s="395" t="s">
        <v>11</v>
      </c>
      <c r="D83" s="420"/>
      <c r="E83" s="396" t="s">
        <v>25</v>
      </c>
      <c r="F83" s="422"/>
      <c r="G83" s="396" t="s">
        <v>749</v>
      </c>
      <c r="H83" s="422"/>
      <c r="I83" s="405">
        <v>75</v>
      </c>
      <c r="J83" s="398"/>
      <c r="K83" s="395" t="s">
        <v>12</v>
      </c>
      <c r="L83" s="398"/>
      <c r="M83" s="395" t="s">
        <v>22</v>
      </c>
      <c r="N83" s="398"/>
      <c r="O83" s="177">
        <v>2008</v>
      </c>
      <c r="P83" s="399" t="s">
        <v>496</v>
      </c>
      <c r="Q83" s="191">
        <v>1765</v>
      </c>
      <c r="R83" s="178"/>
      <c r="S83" s="190">
        <v>132375</v>
      </c>
      <c r="T83" s="178"/>
      <c r="U83" s="191"/>
      <c r="V83" s="178"/>
      <c r="W83" s="179">
        <v>0</v>
      </c>
      <c r="X83" s="178"/>
      <c r="Y83" s="191" t="s">
        <v>360</v>
      </c>
      <c r="Z83" s="178"/>
      <c r="AA83" s="179" t="s">
        <v>628</v>
      </c>
      <c r="AB83" s="178"/>
      <c r="AC83" s="191" t="s">
        <v>360</v>
      </c>
      <c r="AD83" s="178"/>
      <c r="AE83" s="267" t="s">
        <v>628</v>
      </c>
      <c r="AF83" s="268" t="s">
        <v>360</v>
      </c>
      <c r="AG83" s="177"/>
      <c r="AH83" s="267" t="s">
        <v>628</v>
      </c>
      <c r="AI83" s="264"/>
      <c r="AJ83" s="185"/>
      <c r="AK83" s="185"/>
      <c r="AL83" s="185"/>
      <c r="AM83" s="279"/>
      <c r="AO83" s="433" t="s">
        <v>360</v>
      </c>
      <c r="AP83" s="397"/>
      <c r="AQ83" s="267" t="s">
        <v>628</v>
      </c>
      <c r="AR83" s="427" t="s">
        <v>360</v>
      </c>
      <c r="AS83" s="398"/>
      <c r="AT83" s="400" t="s">
        <v>628</v>
      </c>
      <c r="AU83" s="401"/>
      <c r="AV83" s="122" t="s">
        <v>360</v>
      </c>
      <c r="AW83" s="400" t="s">
        <v>628</v>
      </c>
      <c r="AX83" s="401"/>
      <c r="AY83" s="122" t="s">
        <v>360</v>
      </c>
      <c r="AZ83" s="179" t="s">
        <v>628</v>
      </c>
      <c r="BA83" s="401"/>
      <c r="BB83" s="179" t="s">
        <v>360</v>
      </c>
      <c r="BC83" s="395" t="s">
        <v>628</v>
      </c>
      <c r="BD83" s="401"/>
      <c r="BE83" s="179" t="s">
        <v>360</v>
      </c>
      <c r="BF83" s="177" t="s">
        <v>370</v>
      </c>
      <c r="BG83" s="434">
        <v>0</v>
      </c>
      <c r="BH83" s="177">
        <v>0</v>
      </c>
      <c r="BI83" s="434">
        <v>0</v>
      </c>
      <c r="BJ83" s="177">
        <v>0</v>
      </c>
      <c r="BK83" s="402" t="s">
        <v>823</v>
      </c>
    </row>
    <row r="84" spans="1:66" ht="64.900000000000006" customHeight="1" x14ac:dyDescent="0.2">
      <c r="A84" s="421" t="s">
        <v>10</v>
      </c>
      <c r="B84" s="420"/>
      <c r="C84" s="395" t="s">
        <v>11</v>
      </c>
      <c r="D84" s="420"/>
      <c r="E84" s="396" t="s">
        <v>25</v>
      </c>
      <c r="F84" s="422"/>
      <c r="G84" s="396" t="s">
        <v>18</v>
      </c>
      <c r="H84" s="422"/>
      <c r="I84" s="405">
        <v>75</v>
      </c>
      <c r="J84" s="398"/>
      <c r="K84" s="395" t="s">
        <v>12</v>
      </c>
      <c r="L84" s="398"/>
      <c r="M84" s="395" t="s">
        <v>22</v>
      </c>
      <c r="N84" s="398"/>
      <c r="O84" s="177">
        <v>2008</v>
      </c>
      <c r="P84" s="399" t="s">
        <v>496</v>
      </c>
      <c r="Q84" s="178">
        <v>78</v>
      </c>
      <c r="R84" s="178"/>
      <c r="S84" s="190">
        <v>5850</v>
      </c>
      <c r="T84" s="178"/>
      <c r="U84" s="178"/>
      <c r="V84" s="178"/>
      <c r="W84" s="179">
        <v>0</v>
      </c>
      <c r="X84" s="178"/>
      <c r="Y84" s="191" t="s">
        <v>360</v>
      </c>
      <c r="Z84" s="178"/>
      <c r="AA84" s="179" t="s">
        <v>628</v>
      </c>
      <c r="AB84" s="178"/>
      <c r="AC84" s="191" t="s">
        <v>360</v>
      </c>
      <c r="AD84" s="178"/>
      <c r="AE84" s="267" t="s">
        <v>628</v>
      </c>
      <c r="AF84" s="268" t="s">
        <v>360</v>
      </c>
      <c r="AG84" s="177"/>
      <c r="AH84" s="267" t="s">
        <v>628</v>
      </c>
      <c r="AI84" s="264"/>
      <c r="AJ84" s="185"/>
      <c r="AK84" s="185"/>
      <c r="AL84" s="185"/>
      <c r="AM84" s="279"/>
      <c r="AO84" s="433" t="s">
        <v>360</v>
      </c>
      <c r="AP84" s="397"/>
      <c r="AQ84" s="267" t="s">
        <v>628</v>
      </c>
      <c r="AR84" s="427" t="s">
        <v>360</v>
      </c>
      <c r="AS84" s="398"/>
      <c r="AT84" s="400" t="s">
        <v>628</v>
      </c>
      <c r="AU84" s="401"/>
      <c r="AV84" s="122" t="s">
        <v>360</v>
      </c>
      <c r="AW84" s="400" t="s">
        <v>628</v>
      </c>
      <c r="AX84" s="401"/>
      <c r="AY84" s="122" t="s">
        <v>360</v>
      </c>
      <c r="AZ84" s="179" t="s">
        <v>628</v>
      </c>
      <c r="BA84" s="401"/>
      <c r="BB84" s="179" t="s">
        <v>360</v>
      </c>
      <c r="BC84" s="395" t="s">
        <v>628</v>
      </c>
      <c r="BD84" s="401"/>
      <c r="BE84" s="179" t="s">
        <v>360</v>
      </c>
      <c r="BF84" s="177" t="s">
        <v>370</v>
      </c>
      <c r="BG84" s="434">
        <v>0</v>
      </c>
      <c r="BH84" s="177">
        <v>0</v>
      </c>
      <c r="BI84" s="434">
        <v>4</v>
      </c>
      <c r="BJ84" s="177">
        <v>300</v>
      </c>
      <c r="BK84" s="402" t="s">
        <v>823</v>
      </c>
    </row>
    <row r="85" spans="1:66" ht="64.900000000000006" customHeight="1" x14ac:dyDescent="0.2">
      <c r="A85" s="421" t="s">
        <v>10</v>
      </c>
      <c r="B85" s="420"/>
      <c r="C85" s="395" t="s">
        <v>11</v>
      </c>
      <c r="D85" s="420"/>
      <c r="E85" s="396" t="s">
        <v>25</v>
      </c>
      <c r="F85" s="422"/>
      <c r="G85" s="396" t="s">
        <v>19</v>
      </c>
      <c r="H85" s="422"/>
      <c r="I85" s="405">
        <v>20</v>
      </c>
      <c r="J85" s="398"/>
      <c r="K85" s="395" t="s">
        <v>20</v>
      </c>
      <c r="L85" s="398"/>
      <c r="M85" s="395" t="s">
        <v>22</v>
      </c>
      <c r="N85" s="398"/>
      <c r="O85" s="177">
        <v>2008</v>
      </c>
      <c r="P85" s="399" t="s">
        <v>496</v>
      </c>
      <c r="Q85" s="178">
        <v>181</v>
      </c>
      <c r="R85" s="178"/>
      <c r="S85" s="190">
        <v>3620</v>
      </c>
      <c r="T85" s="178"/>
      <c r="U85" s="178">
        <v>694</v>
      </c>
      <c r="V85" s="178"/>
      <c r="W85" s="179">
        <v>125614</v>
      </c>
      <c r="X85" s="178"/>
      <c r="Y85" s="178">
        <v>914</v>
      </c>
      <c r="Z85" s="178"/>
      <c r="AA85" s="190">
        <v>14304</v>
      </c>
      <c r="AB85" s="178"/>
      <c r="AC85" s="178">
        <v>2440</v>
      </c>
      <c r="AD85" s="178"/>
      <c r="AE85" s="179">
        <v>29195</v>
      </c>
      <c r="AF85" s="178">
        <v>4207</v>
      </c>
      <c r="AG85" s="178"/>
      <c r="AH85" s="179">
        <v>86541</v>
      </c>
      <c r="AI85" s="264"/>
      <c r="AJ85" s="185"/>
      <c r="AK85" s="185"/>
      <c r="AL85" s="185"/>
      <c r="AM85" s="279"/>
      <c r="AO85" s="426">
        <v>6049</v>
      </c>
      <c r="AP85" s="398"/>
      <c r="AQ85" s="179">
        <v>87340</v>
      </c>
      <c r="AR85" s="427">
        <v>4763</v>
      </c>
      <c r="AS85" s="398"/>
      <c r="AT85" s="400">
        <v>67245</v>
      </c>
      <c r="AU85" s="401"/>
      <c r="AV85" s="122">
        <v>3585</v>
      </c>
      <c r="AW85" s="400">
        <v>50584</v>
      </c>
      <c r="AX85" s="401"/>
      <c r="AY85" s="122">
        <v>3246</v>
      </c>
      <c r="AZ85" s="179">
        <v>45801</v>
      </c>
      <c r="BA85" s="401"/>
      <c r="BB85" s="122">
        <v>2138</v>
      </c>
      <c r="BC85" s="400">
        <v>42760</v>
      </c>
      <c r="BD85" s="401"/>
      <c r="BE85" s="177">
        <v>2998</v>
      </c>
      <c r="BF85" s="179">
        <v>59960</v>
      </c>
      <c r="BG85" s="431">
        <v>1252</v>
      </c>
      <c r="BH85" s="179">
        <v>25040</v>
      </c>
      <c r="BI85" s="431">
        <v>2317</v>
      </c>
      <c r="BJ85" s="179">
        <v>46340</v>
      </c>
      <c r="BK85" s="402" t="s">
        <v>823</v>
      </c>
    </row>
    <row r="86" spans="1:66" ht="64.900000000000006" customHeight="1" x14ac:dyDescent="0.2">
      <c r="A86" s="421" t="s">
        <v>10</v>
      </c>
      <c r="B86" s="420"/>
      <c r="C86" s="395" t="s">
        <v>11</v>
      </c>
      <c r="D86" s="420"/>
      <c r="E86" s="396" t="s">
        <v>25</v>
      </c>
      <c r="F86" s="422"/>
      <c r="G86" s="396" t="s">
        <v>21</v>
      </c>
      <c r="H86" s="422"/>
      <c r="I86" s="405">
        <v>20</v>
      </c>
      <c r="J86" s="398"/>
      <c r="K86" s="395" t="s">
        <v>20</v>
      </c>
      <c r="L86" s="398"/>
      <c r="M86" s="395" t="s">
        <v>22</v>
      </c>
      <c r="N86" s="398"/>
      <c r="O86" s="177">
        <v>2008</v>
      </c>
      <c r="P86" s="399" t="s">
        <v>496</v>
      </c>
      <c r="Q86" s="178">
        <v>565</v>
      </c>
      <c r="R86" s="178"/>
      <c r="S86" s="190">
        <v>11300</v>
      </c>
      <c r="T86" s="178"/>
      <c r="U86" s="178">
        <v>996</v>
      </c>
      <c r="V86" s="178"/>
      <c r="W86" s="179">
        <v>562740</v>
      </c>
      <c r="X86" s="178"/>
      <c r="Y86" s="178">
        <v>997</v>
      </c>
      <c r="Z86" s="178"/>
      <c r="AA86" s="190">
        <v>15603</v>
      </c>
      <c r="AB86" s="178"/>
      <c r="AC86" s="178">
        <v>1064</v>
      </c>
      <c r="AD86" s="178"/>
      <c r="AE86" s="179">
        <v>12731</v>
      </c>
      <c r="AF86" s="178">
        <v>1235</v>
      </c>
      <c r="AG86" s="178"/>
      <c r="AH86" s="179">
        <v>25405</v>
      </c>
      <c r="AI86" s="264"/>
      <c r="AJ86" s="185"/>
      <c r="AK86" s="185"/>
      <c r="AL86" s="185"/>
      <c r="AM86" s="279"/>
      <c r="AO86" s="426">
        <v>1506</v>
      </c>
      <c r="AP86" s="398"/>
      <c r="AQ86" s="179">
        <v>21745</v>
      </c>
      <c r="AR86" s="427">
        <v>1515</v>
      </c>
      <c r="AS86" s="398"/>
      <c r="AT86" s="400">
        <v>21390</v>
      </c>
      <c r="AU86" s="401"/>
      <c r="AV86" s="122">
        <v>1819</v>
      </c>
      <c r="AW86" s="400">
        <v>25666</v>
      </c>
      <c r="AX86" s="401"/>
      <c r="AY86" s="122">
        <v>1692</v>
      </c>
      <c r="AZ86" s="179">
        <v>23706</v>
      </c>
      <c r="BA86" s="401"/>
      <c r="BB86" s="122">
        <v>939</v>
      </c>
      <c r="BC86" s="400">
        <v>18780</v>
      </c>
      <c r="BD86" s="401"/>
      <c r="BE86" s="177">
        <v>1654</v>
      </c>
      <c r="BF86" s="179">
        <v>40914</v>
      </c>
      <c r="BG86" s="431">
        <v>541</v>
      </c>
      <c r="BH86" s="179">
        <v>10820</v>
      </c>
      <c r="BI86" s="431">
        <v>2097</v>
      </c>
      <c r="BJ86" s="179">
        <v>41940</v>
      </c>
      <c r="BK86" s="402" t="s">
        <v>823</v>
      </c>
    </row>
    <row r="87" spans="1:66" ht="64.900000000000006" customHeight="1" x14ac:dyDescent="0.2">
      <c r="A87" s="421" t="s">
        <v>10</v>
      </c>
      <c r="B87" s="420"/>
      <c r="C87" s="395" t="s">
        <v>11</v>
      </c>
      <c r="D87" s="420"/>
      <c r="E87" s="396" t="s">
        <v>748</v>
      </c>
      <c r="F87" s="422"/>
      <c r="G87" s="396" t="s">
        <v>37</v>
      </c>
      <c r="H87" s="422"/>
      <c r="I87" s="395" t="s">
        <v>30</v>
      </c>
      <c r="J87" s="398"/>
      <c r="K87" s="395" t="s">
        <v>26</v>
      </c>
      <c r="L87" s="398"/>
      <c r="M87" s="395" t="s">
        <v>22</v>
      </c>
      <c r="N87" s="398"/>
      <c r="O87" s="177">
        <v>2009</v>
      </c>
      <c r="P87" s="399" t="s">
        <v>496</v>
      </c>
      <c r="Q87" s="191">
        <v>24053</v>
      </c>
      <c r="R87" s="178"/>
      <c r="S87" s="180">
        <v>800000</v>
      </c>
      <c r="T87" s="178"/>
      <c r="U87" s="191">
        <v>24053</v>
      </c>
      <c r="V87" s="178"/>
      <c r="W87" s="180">
        <v>800000</v>
      </c>
      <c r="X87" s="178"/>
      <c r="Y87" s="191">
        <v>17767</v>
      </c>
      <c r="Z87" s="178"/>
      <c r="AA87" s="180">
        <v>2210000</v>
      </c>
      <c r="AB87" s="178"/>
      <c r="AC87" s="191">
        <v>14613</v>
      </c>
      <c r="AD87" s="178"/>
      <c r="AE87" s="180">
        <v>1838000</v>
      </c>
      <c r="AF87" s="191">
        <v>14103</v>
      </c>
      <c r="AG87" s="178"/>
      <c r="AH87" s="180">
        <v>1873000</v>
      </c>
      <c r="AI87" s="264"/>
      <c r="AJ87" s="185"/>
      <c r="AK87" s="185" t="s">
        <v>718</v>
      </c>
      <c r="AL87" s="185"/>
      <c r="AM87" s="279" t="s">
        <v>29</v>
      </c>
      <c r="AO87" s="426">
        <v>14626</v>
      </c>
      <c r="AP87" s="398"/>
      <c r="AQ87" s="180">
        <v>2002562</v>
      </c>
      <c r="AR87" s="427">
        <v>15117</v>
      </c>
      <c r="AS87" s="398"/>
      <c r="AT87" s="400">
        <v>2132944</v>
      </c>
      <c r="AU87" s="401"/>
      <c r="AV87" s="122">
        <v>14870</v>
      </c>
      <c r="AW87" s="400">
        <v>2171882</v>
      </c>
      <c r="AX87" s="401"/>
      <c r="AY87" s="122">
        <v>14144</v>
      </c>
      <c r="AZ87" s="179">
        <v>2029776</v>
      </c>
      <c r="BA87" s="401"/>
      <c r="BB87" s="433">
        <v>13792</v>
      </c>
      <c r="BC87" s="400">
        <v>1932914</v>
      </c>
      <c r="BD87" s="401"/>
      <c r="BE87" s="268">
        <v>15251</v>
      </c>
      <c r="BF87" s="179">
        <v>2189365</v>
      </c>
      <c r="BG87" s="435">
        <v>2</v>
      </c>
      <c r="BH87" s="428">
        <v>150</v>
      </c>
      <c r="BI87" s="435">
        <v>0</v>
      </c>
      <c r="BJ87" s="428">
        <v>0</v>
      </c>
      <c r="BK87" s="402" t="s">
        <v>823</v>
      </c>
    </row>
    <row r="88" spans="1:66" ht="64.900000000000006" customHeight="1" x14ac:dyDescent="0.2">
      <c r="A88" s="421" t="s">
        <v>10</v>
      </c>
      <c r="B88" s="420"/>
      <c r="C88" s="395" t="s">
        <v>418</v>
      </c>
      <c r="D88" s="420"/>
      <c r="E88" s="396" t="s">
        <v>883</v>
      </c>
      <c r="F88" s="422"/>
      <c r="G88" s="396" t="s">
        <v>879</v>
      </c>
      <c r="H88" s="422"/>
      <c r="I88" s="395" t="s">
        <v>882</v>
      </c>
      <c r="J88" s="398"/>
      <c r="K88" s="395" t="s">
        <v>20</v>
      </c>
      <c r="L88" s="398"/>
      <c r="M88" s="395" t="s">
        <v>880</v>
      </c>
      <c r="N88" s="398"/>
      <c r="O88" s="177">
        <v>2017</v>
      </c>
      <c r="P88" s="399" t="s">
        <v>881</v>
      </c>
      <c r="Q88" s="191"/>
      <c r="R88" s="178"/>
      <c r="S88" s="180"/>
      <c r="T88" s="178"/>
      <c r="U88" s="191"/>
      <c r="V88" s="178"/>
      <c r="W88" s="180"/>
      <c r="X88" s="178"/>
      <c r="Y88" s="191"/>
      <c r="Z88" s="178"/>
      <c r="AA88" s="180"/>
      <c r="AB88" s="178"/>
      <c r="AC88" s="191"/>
      <c r="AD88" s="178"/>
      <c r="AE88" s="180"/>
      <c r="AF88" s="191"/>
      <c r="AG88" s="178"/>
      <c r="AH88" s="180"/>
      <c r="AI88" s="264"/>
      <c r="AJ88" s="185"/>
      <c r="AK88" s="185"/>
      <c r="AL88" s="185"/>
      <c r="AM88" s="279"/>
      <c r="AO88" s="426" t="s">
        <v>360</v>
      </c>
      <c r="AP88" s="398"/>
      <c r="AQ88" s="180" t="s">
        <v>360</v>
      </c>
      <c r="AR88" s="427" t="s">
        <v>360</v>
      </c>
      <c r="AS88" s="398"/>
      <c r="AT88" s="400" t="s">
        <v>360</v>
      </c>
      <c r="AU88" s="401"/>
      <c r="AV88" s="122">
        <v>664</v>
      </c>
      <c r="AW88" s="400">
        <v>207493</v>
      </c>
      <c r="AX88" s="401"/>
      <c r="AY88" s="122">
        <v>791</v>
      </c>
      <c r="AZ88" s="179">
        <v>334800</v>
      </c>
      <c r="BA88" s="401"/>
      <c r="BB88" s="122">
        <v>876</v>
      </c>
      <c r="BC88" s="400">
        <v>350900</v>
      </c>
      <c r="BD88" s="401"/>
      <c r="BE88" s="177">
        <v>654</v>
      </c>
      <c r="BF88" s="179">
        <v>276100</v>
      </c>
      <c r="BG88" s="431">
        <v>16552</v>
      </c>
      <c r="BH88" s="179">
        <v>2312000</v>
      </c>
      <c r="BI88" s="431">
        <v>17159</v>
      </c>
      <c r="BJ88" s="179">
        <v>2255000</v>
      </c>
      <c r="BK88" s="402" t="s">
        <v>823</v>
      </c>
    </row>
    <row r="89" spans="1:66" ht="64.900000000000006" customHeight="1" x14ac:dyDescent="0.2">
      <c r="A89" s="421" t="s">
        <v>10</v>
      </c>
      <c r="B89" s="420"/>
      <c r="C89" s="395" t="s">
        <v>418</v>
      </c>
      <c r="D89" s="420"/>
      <c r="E89" s="396" t="s">
        <v>886</v>
      </c>
      <c r="F89" s="422"/>
      <c r="G89" s="396" t="s">
        <v>885</v>
      </c>
      <c r="H89" s="422"/>
      <c r="I89" s="409">
        <v>1000</v>
      </c>
      <c r="J89" s="398"/>
      <c r="K89" s="395" t="s">
        <v>20</v>
      </c>
      <c r="L89" s="398"/>
      <c r="M89" s="395" t="s">
        <v>880</v>
      </c>
      <c r="N89" s="398"/>
      <c r="O89" s="177">
        <v>2017</v>
      </c>
      <c r="P89" s="399" t="s">
        <v>884</v>
      </c>
      <c r="Q89" s="191"/>
      <c r="R89" s="178"/>
      <c r="S89" s="180"/>
      <c r="T89" s="178"/>
      <c r="U89" s="191"/>
      <c r="V89" s="178"/>
      <c r="W89" s="180"/>
      <c r="X89" s="178"/>
      <c r="Y89" s="191"/>
      <c r="Z89" s="178"/>
      <c r="AA89" s="180"/>
      <c r="AB89" s="178"/>
      <c r="AC89" s="191"/>
      <c r="AD89" s="178"/>
      <c r="AE89" s="180"/>
      <c r="AF89" s="191"/>
      <c r="AG89" s="178"/>
      <c r="AH89" s="180"/>
      <c r="AI89" s="264"/>
      <c r="AJ89" s="185"/>
      <c r="AK89" s="185"/>
      <c r="AL89" s="185"/>
      <c r="AM89" s="279"/>
      <c r="AO89" s="426" t="s">
        <v>360</v>
      </c>
      <c r="AP89" s="398"/>
      <c r="AQ89" s="180" t="s">
        <v>360</v>
      </c>
      <c r="AR89" s="427" t="s">
        <v>360</v>
      </c>
      <c r="AS89" s="398"/>
      <c r="AT89" s="400" t="s">
        <v>360</v>
      </c>
      <c r="AU89" s="401"/>
      <c r="AV89" s="122">
        <v>16</v>
      </c>
      <c r="AW89" s="400">
        <v>16000</v>
      </c>
      <c r="AX89" s="401"/>
      <c r="AY89" s="122">
        <v>17</v>
      </c>
      <c r="AZ89" s="179">
        <v>17000</v>
      </c>
      <c r="BA89" s="401"/>
      <c r="BB89" s="122">
        <v>15</v>
      </c>
      <c r="BC89" s="400">
        <v>15000</v>
      </c>
      <c r="BD89" s="401"/>
      <c r="BE89" s="122">
        <v>16</v>
      </c>
      <c r="BF89" s="179">
        <v>16000</v>
      </c>
      <c r="BG89" s="429">
        <v>13</v>
      </c>
      <c r="BH89" s="430">
        <v>13000</v>
      </c>
      <c r="BI89" s="429">
        <v>13</v>
      </c>
      <c r="BJ89" s="430">
        <v>13000</v>
      </c>
      <c r="BK89" s="402" t="s">
        <v>823</v>
      </c>
    </row>
    <row r="90" spans="1:66" ht="18" customHeight="1" thickBot="1" x14ac:dyDescent="0.25">
      <c r="A90" s="444" t="s">
        <v>559</v>
      </c>
      <c r="B90" s="445"/>
      <c r="C90" s="445"/>
      <c r="D90" s="348"/>
      <c r="E90" s="349"/>
      <c r="F90" s="350"/>
      <c r="G90" s="349"/>
      <c r="H90" s="350"/>
      <c r="I90" s="351"/>
      <c r="J90" s="352"/>
      <c r="K90" s="351"/>
      <c r="L90" s="352"/>
      <c r="M90" s="351"/>
      <c r="N90" s="352"/>
      <c r="O90" s="351"/>
      <c r="P90" s="350"/>
      <c r="Q90" s="353">
        <f>SUM(Q2:Q87)</f>
        <v>38107</v>
      </c>
      <c r="R90" s="352"/>
      <c r="S90" s="354">
        <f>SUM(S2:S87)</f>
        <v>10272831</v>
      </c>
      <c r="T90" s="352"/>
      <c r="U90" s="353">
        <f>SUM(U2:U87)</f>
        <v>39008</v>
      </c>
      <c r="V90" s="352"/>
      <c r="W90" s="354">
        <f>SUM(W2:W87)</f>
        <v>47147900.939999998</v>
      </c>
      <c r="X90" s="354">
        <v>0</v>
      </c>
      <c r="Y90" s="353">
        <f>SUM(Y2:Y87)</f>
        <v>27228</v>
      </c>
      <c r="Z90" s="354">
        <v>0</v>
      </c>
      <c r="AA90" s="354">
        <f>SUM(AA2:AA87)</f>
        <v>22090805.100000001</v>
      </c>
      <c r="AB90" s="354">
        <v>0</v>
      </c>
      <c r="AC90" s="353">
        <f>SUM(AC2:AC87)</f>
        <v>25332</v>
      </c>
      <c r="AD90" s="354">
        <v>0</v>
      </c>
      <c r="AE90" s="354">
        <f>SUM(AE2:AE87)</f>
        <v>22523074</v>
      </c>
      <c r="AF90" s="353">
        <f>SUM(AF2:AF87)</f>
        <v>36824</v>
      </c>
      <c r="AG90" s="354">
        <v>0</v>
      </c>
      <c r="AH90" s="354">
        <f>SUM(AH2:AH87)</f>
        <v>23353495</v>
      </c>
      <c r="AI90" s="354">
        <f t="shared" ref="AI90:AN90" si="0">SUM(AI2:AI87)</f>
        <v>0</v>
      </c>
      <c r="AJ90" s="354">
        <f t="shared" si="0"/>
        <v>0</v>
      </c>
      <c r="AK90" s="354">
        <f t="shared" si="0"/>
        <v>0</v>
      </c>
      <c r="AL90" s="354">
        <f t="shared" si="0"/>
        <v>0</v>
      </c>
      <c r="AM90" s="354">
        <f t="shared" si="0"/>
        <v>0</v>
      </c>
      <c r="AN90" s="354">
        <f t="shared" si="0"/>
        <v>0</v>
      </c>
      <c r="AO90" s="355">
        <f>SUM(AO2:AO89)</f>
        <v>28974</v>
      </c>
      <c r="AP90" s="356"/>
      <c r="AQ90" s="354">
        <f>SUM(AQ2:AQ89)</f>
        <v>21919180.539999999</v>
      </c>
      <c r="AR90" s="353">
        <f>SUM(AR2:AR89)</f>
        <v>27532</v>
      </c>
      <c r="AS90" s="354"/>
      <c r="AT90" s="354">
        <f>SUM(AT2:AT89)</f>
        <v>21631116.48</v>
      </c>
      <c r="AU90" s="354"/>
      <c r="AV90" s="387"/>
      <c r="AW90" s="354"/>
      <c r="AX90" s="354"/>
      <c r="AY90" s="387"/>
      <c r="AZ90" s="354"/>
      <c r="BA90" s="354"/>
      <c r="BB90" s="387"/>
      <c r="BC90" s="354"/>
      <c r="BD90" s="354"/>
      <c r="BE90" s="387"/>
      <c r="BF90" s="354"/>
      <c r="BG90" s="354"/>
      <c r="BH90" s="354"/>
      <c r="BI90" s="354"/>
      <c r="BJ90" s="354"/>
      <c r="BK90" s="357"/>
    </row>
    <row r="91" spans="1:66" ht="13.5" thickTop="1" x14ac:dyDescent="0.2">
      <c r="I91" s="156"/>
      <c r="J91" s="127"/>
      <c r="K91" s="156"/>
      <c r="L91" s="127"/>
      <c r="M91" s="156"/>
      <c r="N91" s="127"/>
      <c r="O91" s="156"/>
      <c r="Q91" s="210"/>
      <c r="R91" s="127"/>
      <c r="S91" s="250"/>
      <c r="T91" s="127"/>
      <c r="U91" s="210"/>
      <c r="V91" s="127"/>
      <c r="W91" s="250"/>
      <c r="X91" s="127"/>
      <c r="Y91" s="210"/>
      <c r="Z91" s="127"/>
      <c r="AA91" s="250"/>
      <c r="AB91" s="127"/>
      <c r="AC91" s="210"/>
      <c r="AD91" s="127"/>
      <c r="AE91" s="250"/>
      <c r="AF91" s="210"/>
      <c r="AG91" s="127"/>
      <c r="AH91" s="250"/>
      <c r="AO91" s="210"/>
      <c r="AP91" s="127"/>
      <c r="AQ91" s="250"/>
      <c r="AR91" s="210"/>
      <c r="AS91" s="127"/>
      <c r="AT91" s="250"/>
      <c r="AU91" s="250"/>
      <c r="AV91" s="388"/>
      <c r="AW91" s="250"/>
      <c r="AX91" s="250"/>
      <c r="AY91" s="388"/>
      <c r="AZ91" s="250"/>
      <c r="BA91" s="250"/>
      <c r="BB91" s="388"/>
      <c r="BC91" s="250"/>
      <c r="BD91" s="250"/>
      <c r="BE91" s="388"/>
      <c r="BF91" s="250"/>
      <c r="BG91" s="250"/>
      <c r="BH91" s="250"/>
      <c r="BI91" s="250"/>
      <c r="BJ91" s="250"/>
      <c r="BK91" s="181"/>
    </row>
    <row r="92" spans="1:66" x14ac:dyDescent="0.2">
      <c r="A92" s="361" t="s">
        <v>921</v>
      </c>
      <c r="B92" s="266"/>
      <c r="C92" s="167"/>
      <c r="D92" s="266"/>
      <c r="E92" s="169"/>
      <c r="F92" s="167"/>
      <c r="G92" s="169"/>
      <c r="H92" s="167"/>
      <c r="I92" s="167"/>
      <c r="J92" s="168"/>
      <c r="K92" s="168"/>
      <c r="L92" s="168"/>
      <c r="M92" s="168"/>
      <c r="N92" s="168"/>
      <c r="O92" s="168"/>
      <c r="P92" s="275"/>
      <c r="Q92" s="168"/>
      <c r="R92" s="168"/>
      <c r="S92" s="170"/>
      <c r="T92" s="168"/>
      <c r="U92" s="168"/>
      <c r="V92" s="168"/>
      <c r="W92" s="168"/>
      <c r="X92" s="168"/>
      <c r="Y92" s="168"/>
      <c r="Z92" s="168"/>
      <c r="AA92" s="170"/>
      <c r="AB92" s="168"/>
      <c r="AC92" s="168"/>
      <c r="AD92" s="168"/>
      <c r="AE92" s="168"/>
      <c r="AF92" s="168"/>
      <c r="AG92" s="168"/>
      <c r="AH92" s="168"/>
      <c r="AI92" s="266"/>
      <c r="AJ92" s="266"/>
      <c r="AK92" s="266"/>
      <c r="AL92" s="266"/>
      <c r="AM92" s="266"/>
      <c r="AN92" s="266"/>
      <c r="AO92" s="168"/>
      <c r="AP92" s="168"/>
      <c r="AQ92" s="168"/>
      <c r="AR92" s="168"/>
      <c r="AS92" s="168"/>
      <c r="AT92" s="168"/>
      <c r="AU92" s="168"/>
      <c r="AV92" s="389"/>
      <c r="AW92" s="168"/>
      <c r="AX92" s="168"/>
      <c r="AY92" s="389"/>
      <c r="AZ92" s="168"/>
      <c r="BA92" s="168"/>
      <c r="BB92" s="389"/>
      <c r="BC92" s="168"/>
      <c r="BD92" s="168"/>
      <c r="BE92" s="389"/>
      <c r="BF92" s="168"/>
      <c r="BG92" s="168"/>
      <c r="BH92" s="168"/>
      <c r="BI92" s="168"/>
      <c r="BJ92" s="168"/>
      <c r="BL92" s="266"/>
      <c r="BM92" s="266"/>
      <c r="BN92" s="266"/>
    </row>
    <row r="93" spans="1:66" x14ac:dyDescent="0.2">
      <c r="I93" s="156"/>
      <c r="J93" s="127"/>
      <c r="K93" s="156"/>
      <c r="L93" s="127"/>
      <c r="M93" s="156"/>
      <c r="N93" s="127"/>
      <c r="O93" s="156"/>
      <c r="Q93" s="157"/>
      <c r="R93" s="157"/>
      <c r="S93" s="164"/>
      <c r="T93" s="157"/>
      <c r="U93" s="157"/>
      <c r="V93" s="157"/>
      <c r="W93" s="157"/>
      <c r="X93" s="157"/>
      <c r="Y93" s="157"/>
      <c r="Z93" s="157"/>
      <c r="AA93" s="270"/>
      <c r="AB93" s="157"/>
      <c r="AC93" s="157"/>
      <c r="AD93" s="157"/>
      <c r="AE93" s="270"/>
      <c r="AF93" s="157"/>
      <c r="AG93" s="157"/>
      <c r="AH93" s="270"/>
      <c r="AO93" s="157"/>
      <c r="AP93" s="127"/>
      <c r="AQ93" s="157"/>
      <c r="AR93" s="157"/>
      <c r="AS93" s="127"/>
      <c r="AT93" s="157"/>
      <c r="AU93" s="127"/>
      <c r="AV93" s="390"/>
      <c r="AW93" s="157"/>
      <c r="AX93" s="127"/>
      <c r="AY93" s="390"/>
      <c r="AZ93" s="157"/>
      <c r="BA93" s="127"/>
      <c r="BB93" s="390"/>
      <c r="BC93" s="127"/>
      <c r="BD93" s="127"/>
      <c r="BE93" s="390"/>
      <c r="BF93" s="157"/>
      <c r="BG93" s="157"/>
      <c r="BH93" s="157"/>
      <c r="BI93" s="157"/>
      <c r="BJ93" s="157"/>
    </row>
    <row r="94" spans="1:66" x14ac:dyDescent="0.2">
      <c r="I94" s="156"/>
      <c r="J94" s="127"/>
      <c r="K94" s="156"/>
      <c r="L94" s="127"/>
      <c r="M94" s="156"/>
      <c r="N94" s="127"/>
      <c r="O94" s="156"/>
      <c r="Q94" s="157"/>
      <c r="R94" s="157"/>
      <c r="S94" s="164"/>
      <c r="T94" s="157"/>
      <c r="U94" s="157"/>
      <c r="V94" s="157"/>
      <c r="W94" s="157"/>
      <c r="X94" s="157"/>
      <c r="Y94" s="157"/>
      <c r="Z94" s="157"/>
      <c r="AA94" s="164"/>
      <c r="AB94" s="157"/>
      <c r="AC94" s="157"/>
      <c r="AD94" s="157"/>
      <c r="AE94" s="157"/>
      <c r="AF94" s="157"/>
      <c r="AG94" s="157"/>
      <c r="AH94" s="157"/>
      <c r="AO94" s="157"/>
      <c r="AP94" s="127"/>
      <c r="AQ94" s="157"/>
      <c r="AR94" s="157"/>
      <c r="AS94" s="127"/>
      <c r="AT94" s="157"/>
      <c r="AU94" s="127"/>
      <c r="AV94" s="390"/>
      <c r="AW94" s="157"/>
      <c r="AX94" s="127"/>
      <c r="AY94" s="390"/>
      <c r="AZ94" s="157"/>
      <c r="BA94" s="127"/>
      <c r="BB94" s="390"/>
      <c r="BC94" s="127"/>
      <c r="BD94" s="127"/>
      <c r="BE94" s="390"/>
      <c r="BF94" s="157"/>
      <c r="BG94" s="157"/>
      <c r="BH94" s="157"/>
      <c r="BI94" s="157"/>
      <c r="BJ94" s="157"/>
    </row>
    <row r="95" spans="1:66" x14ac:dyDescent="0.2">
      <c r="I95" s="156"/>
      <c r="J95" s="127"/>
      <c r="K95" s="156"/>
      <c r="L95" s="127"/>
      <c r="M95" s="156"/>
      <c r="N95" s="127"/>
      <c r="O95" s="156"/>
      <c r="Q95" s="157"/>
      <c r="R95" s="157"/>
      <c r="S95" s="164"/>
      <c r="T95" s="157"/>
      <c r="U95" s="157"/>
      <c r="V95" s="157"/>
      <c r="W95" s="157"/>
      <c r="X95" s="157"/>
      <c r="Y95" s="157"/>
      <c r="Z95" s="157"/>
      <c r="AA95" s="164"/>
      <c r="AB95" s="157"/>
      <c r="AC95" s="157"/>
      <c r="AD95" s="157"/>
      <c r="AE95" s="157"/>
      <c r="AF95" s="157"/>
      <c r="AG95" s="157"/>
      <c r="AH95" s="157"/>
      <c r="AO95" s="157"/>
      <c r="AP95" s="127"/>
      <c r="AQ95" s="157"/>
      <c r="AR95" s="157"/>
      <c r="AS95" s="127"/>
      <c r="AT95" s="157"/>
      <c r="AU95" s="127"/>
      <c r="AV95" s="390"/>
      <c r="AW95" s="157"/>
      <c r="AX95" s="127"/>
      <c r="AY95" s="390"/>
      <c r="AZ95" s="157"/>
      <c r="BA95" s="127"/>
      <c r="BB95" s="390"/>
      <c r="BC95" s="127"/>
      <c r="BD95" s="127"/>
      <c r="BE95" s="390"/>
      <c r="BF95" s="157"/>
      <c r="BG95" s="157"/>
      <c r="BH95" s="157"/>
      <c r="BI95" s="157"/>
      <c r="BJ95" s="157"/>
    </row>
    <row r="96" spans="1:66" x14ac:dyDescent="0.2">
      <c r="I96" s="156"/>
      <c r="J96" s="127"/>
      <c r="K96" s="156"/>
      <c r="L96" s="127"/>
      <c r="M96" s="156"/>
      <c r="N96" s="127"/>
      <c r="O96" s="156"/>
      <c r="Q96" s="157"/>
      <c r="R96" s="157"/>
      <c r="S96" s="164"/>
      <c r="T96" s="157"/>
      <c r="U96" s="157"/>
      <c r="V96" s="157"/>
      <c r="W96" s="157"/>
      <c r="X96" s="157"/>
      <c r="Y96" s="157"/>
      <c r="Z96" s="157"/>
      <c r="AA96" s="164"/>
      <c r="AB96" s="157"/>
      <c r="AC96" s="157"/>
      <c r="AD96" s="157"/>
      <c r="AE96" s="157"/>
      <c r="AF96" s="157"/>
      <c r="AG96" s="157"/>
      <c r="AH96" s="157"/>
      <c r="AO96" s="157"/>
      <c r="AP96" s="127"/>
      <c r="AQ96" s="157"/>
      <c r="AR96" s="157"/>
      <c r="AS96" s="127"/>
      <c r="AT96" s="157"/>
      <c r="AU96" s="127"/>
      <c r="AV96" s="390"/>
      <c r="AW96" s="157"/>
      <c r="AX96" s="127"/>
      <c r="AY96" s="390"/>
      <c r="AZ96" s="157"/>
      <c r="BA96" s="127"/>
      <c r="BB96" s="390"/>
      <c r="BC96" s="127"/>
      <c r="BD96" s="127"/>
      <c r="BE96" s="390"/>
      <c r="BF96" s="157"/>
      <c r="BG96" s="157"/>
      <c r="BH96" s="157"/>
      <c r="BI96" s="157"/>
      <c r="BJ96" s="157"/>
    </row>
    <row r="97" spans="1:63" x14ac:dyDescent="0.2">
      <c r="I97" s="156"/>
      <c r="J97" s="127"/>
      <c r="K97" s="156"/>
      <c r="L97" s="127"/>
      <c r="M97" s="156"/>
      <c r="N97" s="127"/>
      <c r="O97" s="156"/>
      <c r="Q97" s="157"/>
      <c r="R97" s="157"/>
      <c r="S97" s="164"/>
      <c r="T97" s="157"/>
      <c r="U97" s="157"/>
      <c r="V97" s="157"/>
      <c r="W97" s="157"/>
      <c r="X97" s="157"/>
      <c r="Y97" s="157"/>
      <c r="Z97" s="157"/>
      <c r="AA97" s="164"/>
      <c r="AB97" s="157"/>
      <c r="AC97" s="157"/>
      <c r="AD97" s="157"/>
      <c r="AE97" s="157"/>
      <c r="AF97" s="157"/>
      <c r="AG97" s="157"/>
      <c r="AH97" s="157"/>
      <c r="AO97" s="157"/>
      <c r="AP97" s="127"/>
      <c r="AQ97" s="157"/>
      <c r="AR97" s="157"/>
      <c r="AS97" s="127"/>
      <c r="AT97" s="157"/>
      <c r="AU97" s="127"/>
      <c r="AV97" s="390"/>
      <c r="AW97" s="157"/>
      <c r="AX97" s="127"/>
      <c r="AY97" s="390"/>
      <c r="AZ97" s="157"/>
      <c r="BA97" s="127"/>
      <c r="BB97" s="390"/>
      <c r="BC97" s="127"/>
      <c r="BD97" s="127"/>
      <c r="BE97" s="390"/>
      <c r="BF97" s="157"/>
      <c r="BG97" s="157"/>
      <c r="BH97" s="157"/>
      <c r="BI97" s="157"/>
      <c r="BJ97" s="157"/>
    </row>
    <row r="98" spans="1:63" x14ac:dyDescent="0.2">
      <c r="I98" s="156"/>
      <c r="J98" s="127"/>
      <c r="K98" s="156"/>
      <c r="L98" s="127"/>
      <c r="M98" s="156"/>
      <c r="N98" s="127"/>
      <c r="O98" s="156"/>
      <c r="Q98" s="157"/>
      <c r="R98" s="157"/>
      <c r="S98" s="164"/>
      <c r="T98" s="157"/>
      <c r="U98" s="157"/>
      <c r="V98" s="157"/>
      <c r="W98" s="157"/>
      <c r="X98" s="157"/>
      <c r="Y98" s="157"/>
      <c r="Z98" s="157"/>
      <c r="AA98" s="164"/>
      <c r="AB98" s="157"/>
      <c r="AC98" s="157"/>
      <c r="AD98" s="157"/>
      <c r="AE98" s="157"/>
      <c r="AF98" s="157"/>
      <c r="AG98" s="157"/>
      <c r="AH98" s="157"/>
      <c r="AO98" s="157"/>
      <c r="AP98" s="127"/>
      <c r="AQ98" s="157"/>
      <c r="AR98" s="157"/>
      <c r="AS98" s="127"/>
      <c r="AT98" s="157"/>
      <c r="AU98" s="127"/>
      <c r="AV98" s="390"/>
      <c r="AW98" s="157"/>
      <c r="AX98" s="127"/>
      <c r="AY98" s="390"/>
      <c r="AZ98" s="157"/>
      <c r="BA98" s="127"/>
      <c r="BB98" s="390"/>
      <c r="BC98" s="127"/>
      <c r="BD98" s="127"/>
      <c r="BE98" s="390"/>
      <c r="BF98" s="157"/>
      <c r="BG98" s="157"/>
      <c r="BH98" s="157"/>
      <c r="BI98" s="157"/>
      <c r="BJ98" s="157"/>
    </row>
    <row r="99" spans="1:63" x14ac:dyDescent="0.2">
      <c r="A99" s="362"/>
      <c r="B99" s="23"/>
      <c r="C99" s="160"/>
      <c r="D99" s="23"/>
      <c r="E99" s="160"/>
      <c r="F99" s="23"/>
      <c r="G99" s="160"/>
      <c r="H99" s="23"/>
      <c r="I99" s="156"/>
      <c r="J99" s="127"/>
      <c r="K99" s="156"/>
      <c r="L99" s="127"/>
      <c r="M99" s="156"/>
      <c r="N99" s="127"/>
      <c r="O99" s="156"/>
      <c r="Q99" s="157"/>
      <c r="R99" s="157"/>
      <c r="S99" s="164"/>
      <c r="T99" s="157"/>
      <c r="U99" s="157"/>
      <c r="V99" s="157"/>
      <c r="W99" s="157"/>
      <c r="X99" s="157"/>
      <c r="Y99" s="157"/>
      <c r="Z99" s="157"/>
      <c r="AA99" s="164"/>
      <c r="AB99" s="157"/>
      <c r="AC99" s="157"/>
      <c r="AD99" s="157"/>
      <c r="AE99" s="157"/>
      <c r="AF99" s="157"/>
      <c r="AG99" s="157"/>
      <c r="AH99" s="157"/>
      <c r="AO99" s="157"/>
      <c r="AP99" s="127"/>
      <c r="AQ99" s="157"/>
      <c r="AR99" s="157"/>
      <c r="AS99" s="127"/>
      <c r="AT99" s="157"/>
      <c r="AU99" s="127"/>
      <c r="AV99" s="390"/>
      <c r="AW99" s="157"/>
      <c r="AX99" s="127"/>
      <c r="AY99" s="390"/>
      <c r="AZ99" s="157"/>
      <c r="BA99" s="127"/>
      <c r="BB99" s="390"/>
      <c r="BC99" s="127"/>
      <c r="BD99" s="127"/>
      <c r="BE99" s="390"/>
      <c r="BF99" s="157"/>
      <c r="BG99" s="157"/>
      <c r="BH99" s="157"/>
      <c r="BI99" s="157"/>
      <c r="BJ99" s="157"/>
      <c r="BK99" s="160"/>
    </row>
    <row r="100" spans="1:63" x14ac:dyDescent="0.2">
      <c r="A100" s="362"/>
      <c r="B100" s="23"/>
      <c r="C100" s="160"/>
      <c r="D100" s="23"/>
      <c r="E100" s="160"/>
      <c r="F100" s="23"/>
      <c r="G100" s="160"/>
      <c r="H100" s="23"/>
      <c r="I100" s="156"/>
      <c r="J100" s="127"/>
      <c r="K100" s="156"/>
      <c r="L100" s="127"/>
      <c r="M100" s="156"/>
      <c r="N100" s="127"/>
      <c r="O100" s="156"/>
      <c r="Q100" s="157"/>
      <c r="R100" s="157"/>
      <c r="S100" s="164"/>
      <c r="T100" s="157"/>
      <c r="U100" s="157"/>
      <c r="V100" s="157"/>
      <c r="W100" s="157"/>
      <c r="X100" s="157"/>
      <c r="Y100" s="157"/>
      <c r="Z100" s="157"/>
      <c r="AA100" s="164"/>
      <c r="AB100" s="157"/>
      <c r="AC100" s="157"/>
      <c r="AD100" s="157"/>
      <c r="AE100" s="157"/>
      <c r="AF100" s="157"/>
      <c r="AG100" s="157"/>
      <c r="AH100" s="157"/>
      <c r="AO100" s="157"/>
      <c r="AP100" s="127"/>
      <c r="AQ100" s="157"/>
      <c r="AR100" s="157"/>
      <c r="AS100" s="127"/>
      <c r="AT100" s="157"/>
      <c r="AU100" s="127"/>
      <c r="AV100" s="390"/>
      <c r="AW100" s="157"/>
      <c r="AX100" s="127"/>
      <c r="AY100" s="390"/>
      <c r="AZ100" s="157"/>
      <c r="BA100" s="127"/>
      <c r="BB100" s="390"/>
      <c r="BC100" s="127"/>
      <c r="BD100" s="127"/>
      <c r="BE100" s="390"/>
      <c r="BF100" s="157"/>
      <c r="BG100" s="157"/>
      <c r="BH100" s="157"/>
      <c r="BI100" s="157"/>
      <c r="BJ100" s="157"/>
      <c r="BK100" s="160"/>
    </row>
    <row r="101" spans="1:63" x14ac:dyDescent="0.2">
      <c r="A101" s="362"/>
      <c r="B101" s="23"/>
      <c r="C101" s="160"/>
      <c r="D101" s="23"/>
      <c r="E101" s="160"/>
      <c r="F101" s="23"/>
      <c r="G101" s="160"/>
      <c r="H101" s="23"/>
      <c r="I101" s="156"/>
      <c r="J101" s="127"/>
      <c r="K101" s="156"/>
      <c r="L101" s="127"/>
      <c r="M101" s="156"/>
      <c r="N101" s="127"/>
      <c r="O101" s="156"/>
      <c r="Q101" s="157"/>
      <c r="R101" s="157"/>
      <c r="S101" s="164"/>
      <c r="T101" s="157"/>
      <c r="U101" s="157"/>
      <c r="V101" s="157"/>
      <c r="W101" s="157"/>
      <c r="X101" s="157"/>
      <c r="Y101" s="157"/>
      <c r="Z101" s="157"/>
      <c r="AA101" s="164"/>
      <c r="AB101" s="157"/>
      <c r="AC101" s="157"/>
      <c r="AD101" s="157"/>
      <c r="AE101" s="157"/>
      <c r="AF101" s="157"/>
      <c r="AG101" s="157"/>
      <c r="AH101" s="157"/>
      <c r="AO101" s="157"/>
      <c r="AP101" s="127"/>
      <c r="AQ101" s="157"/>
      <c r="AR101" s="157"/>
      <c r="AS101" s="127"/>
      <c r="AT101" s="157"/>
      <c r="AU101" s="127"/>
      <c r="AV101" s="390"/>
      <c r="AW101" s="157"/>
      <c r="AX101" s="127"/>
      <c r="AY101" s="390"/>
      <c r="AZ101" s="157"/>
      <c r="BA101" s="127"/>
      <c r="BB101" s="390"/>
      <c r="BC101" s="127"/>
      <c r="BD101" s="127"/>
      <c r="BE101" s="390"/>
      <c r="BF101" s="157"/>
      <c r="BG101" s="157"/>
      <c r="BH101" s="157"/>
      <c r="BI101" s="157"/>
      <c r="BJ101" s="157"/>
      <c r="BK101" s="160"/>
    </row>
    <row r="102" spans="1:63" x14ac:dyDescent="0.2">
      <c r="A102" s="362"/>
      <c r="B102" s="23"/>
      <c r="C102" s="160"/>
      <c r="D102" s="23"/>
      <c r="E102" s="160"/>
      <c r="F102" s="23"/>
      <c r="G102" s="160"/>
      <c r="H102" s="23"/>
      <c r="I102" s="156"/>
      <c r="J102" s="127"/>
      <c r="K102" s="156"/>
      <c r="L102" s="127"/>
      <c r="M102" s="156"/>
      <c r="N102" s="127"/>
      <c r="O102" s="156"/>
      <c r="Q102" s="157"/>
      <c r="R102" s="157"/>
      <c r="S102" s="164"/>
      <c r="T102" s="157"/>
      <c r="U102" s="157"/>
      <c r="V102" s="157"/>
      <c r="W102" s="157"/>
      <c r="X102" s="157"/>
      <c r="Y102" s="157"/>
      <c r="Z102" s="157"/>
      <c r="AA102" s="164"/>
      <c r="AB102" s="157"/>
      <c r="AC102" s="157"/>
      <c r="AD102" s="157"/>
      <c r="AE102" s="157"/>
      <c r="AF102" s="157"/>
      <c r="AG102" s="157"/>
      <c r="AH102" s="157"/>
      <c r="AO102" s="157"/>
      <c r="AP102" s="127"/>
      <c r="AQ102" s="157"/>
      <c r="AR102" s="157"/>
      <c r="AS102" s="127"/>
      <c r="AT102" s="157"/>
      <c r="AU102" s="127"/>
      <c r="AV102" s="390"/>
      <c r="AW102" s="157"/>
      <c r="AX102" s="127"/>
      <c r="AY102" s="390"/>
      <c r="AZ102" s="157"/>
      <c r="BA102" s="127"/>
      <c r="BB102" s="390"/>
      <c r="BC102" s="127"/>
      <c r="BD102" s="127"/>
      <c r="BE102" s="390"/>
      <c r="BF102" s="157"/>
      <c r="BG102" s="157"/>
      <c r="BH102" s="157"/>
      <c r="BI102" s="157"/>
      <c r="BJ102" s="157"/>
      <c r="BK102" s="160"/>
    </row>
    <row r="103" spans="1:63" x14ac:dyDescent="0.2">
      <c r="A103" s="362"/>
      <c r="B103" s="23"/>
      <c r="C103" s="160"/>
      <c r="D103" s="23"/>
      <c r="E103" s="160"/>
      <c r="F103" s="23"/>
      <c r="G103" s="160"/>
      <c r="H103" s="23"/>
      <c r="I103" s="156"/>
      <c r="J103" s="127"/>
      <c r="K103" s="156"/>
      <c r="L103" s="127"/>
      <c r="M103" s="156"/>
      <c r="N103" s="127"/>
      <c r="O103" s="156"/>
      <c r="Q103" s="157"/>
      <c r="R103" s="157"/>
      <c r="S103" s="164"/>
      <c r="T103" s="157"/>
      <c r="U103" s="157"/>
      <c r="V103" s="157"/>
      <c r="W103" s="157"/>
      <c r="X103" s="157"/>
      <c r="Y103" s="157"/>
      <c r="Z103" s="157"/>
      <c r="AA103" s="164"/>
      <c r="AB103" s="157"/>
      <c r="AC103" s="157"/>
      <c r="AD103" s="157"/>
      <c r="AE103" s="157"/>
      <c r="AF103" s="157"/>
      <c r="AG103" s="157"/>
      <c r="AH103" s="157"/>
      <c r="AO103" s="157"/>
      <c r="AP103" s="127"/>
      <c r="AQ103" s="157"/>
      <c r="AR103" s="157"/>
      <c r="AS103" s="127"/>
      <c r="AT103" s="157"/>
      <c r="AU103" s="127"/>
      <c r="AV103" s="390"/>
      <c r="AW103" s="157"/>
      <c r="AX103" s="127"/>
      <c r="AY103" s="390"/>
      <c r="AZ103" s="157"/>
      <c r="BA103" s="127"/>
      <c r="BB103" s="390"/>
      <c r="BC103" s="127"/>
      <c r="BD103" s="127"/>
      <c r="BE103" s="390"/>
      <c r="BF103" s="157"/>
      <c r="BG103" s="157"/>
      <c r="BH103" s="157"/>
      <c r="BI103" s="157"/>
      <c r="BJ103" s="157"/>
      <c r="BK103" s="160"/>
    </row>
    <row r="104" spans="1:63" x14ac:dyDescent="0.2">
      <c r="A104" s="362"/>
      <c r="B104" s="23"/>
      <c r="C104" s="160"/>
      <c r="D104" s="23"/>
      <c r="E104" s="160"/>
      <c r="F104" s="23"/>
      <c r="G104" s="160"/>
      <c r="H104" s="23"/>
      <c r="I104" s="156"/>
      <c r="J104" s="127"/>
      <c r="K104" s="156"/>
      <c r="L104" s="127"/>
      <c r="M104" s="156"/>
      <c r="N104" s="127"/>
      <c r="O104" s="156"/>
      <c r="Q104" s="157"/>
      <c r="R104" s="157"/>
      <c r="S104" s="164"/>
      <c r="T104" s="157"/>
      <c r="U104" s="157"/>
      <c r="V104" s="157"/>
      <c r="W104" s="157"/>
      <c r="X104" s="157"/>
      <c r="Y104" s="157"/>
      <c r="Z104" s="157"/>
      <c r="AA104" s="164"/>
      <c r="AB104" s="157"/>
      <c r="AC104" s="157"/>
      <c r="AD104" s="157"/>
      <c r="AE104" s="157"/>
      <c r="AF104" s="157"/>
      <c r="AG104" s="157"/>
      <c r="AH104" s="157"/>
      <c r="AO104" s="157"/>
      <c r="AP104" s="127"/>
      <c r="AQ104" s="157"/>
      <c r="AR104" s="157"/>
      <c r="AS104" s="127"/>
      <c r="AT104" s="157"/>
      <c r="AU104" s="127"/>
      <c r="AV104" s="390"/>
      <c r="AW104" s="157"/>
      <c r="AX104" s="127"/>
      <c r="AY104" s="390"/>
      <c r="AZ104" s="157"/>
      <c r="BA104" s="127"/>
      <c r="BB104" s="390"/>
      <c r="BC104" s="127"/>
      <c r="BD104" s="127"/>
      <c r="BE104" s="390"/>
      <c r="BF104" s="157"/>
      <c r="BG104" s="157"/>
      <c r="BH104" s="157"/>
      <c r="BI104" s="157"/>
      <c r="BJ104" s="157"/>
      <c r="BK104" s="160"/>
    </row>
    <row r="105" spans="1:63" x14ac:dyDescent="0.2">
      <c r="A105" s="362"/>
      <c r="B105" s="23"/>
      <c r="C105" s="160"/>
      <c r="D105" s="23"/>
      <c r="E105" s="160"/>
      <c r="F105" s="23"/>
      <c r="G105" s="160"/>
      <c r="H105" s="23"/>
      <c r="I105" s="156"/>
      <c r="J105" s="127"/>
      <c r="K105" s="156"/>
      <c r="L105" s="127"/>
      <c r="M105" s="156"/>
      <c r="N105" s="127"/>
      <c r="O105" s="156"/>
      <c r="Q105" s="157"/>
      <c r="R105" s="157"/>
      <c r="S105" s="164"/>
      <c r="T105" s="157"/>
      <c r="U105" s="157"/>
      <c r="V105" s="157"/>
      <c r="W105" s="157"/>
      <c r="X105" s="157"/>
      <c r="Y105" s="157"/>
      <c r="Z105" s="157"/>
      <c r="AA105" s="164"/>
      <c r="AB105" s="157"/>
      <c r="AC105" s="157"/>
      <c r="AD105" s="157"/>
      <c r="AE105" s="157"/>
      <c r="AF105" s="157"/>
      <c r="AG105" s="157"/>
      <c r="AH105" s="157"/>
      <c r="AO105" s="157"/>
      <c r="AP105" s="127"/>
      <c r="AQ105" s="157"/>
      <c r="AR105" s="157"/>
      <c r="AS105" s="127"/>
      <c r="AT105" s="157"/>
      <c r="AU105" s="127"/>
      <c r="AV105" s="390"/>
      <c r="AW105" s="157"/>
      <c r="AX105" s="127"/>
      <c r="AY105" s="390"/>
      <c r="AZ105" s="157"/>
      <c r="BA105" s="127"/>
      <c r="BB105" s="390"/>
      <c r="BC105" s="127"/>
      <c r="BD105" s="127"/>
      <c r="BE105" s="390"/>
      <c r="BF105" s="157"/>
      <c r="BG105" s="157"/>
      <c r="BH105" s="157"/>
      <c r="BI105" s="157"/>
      <c r="BJ105" s="157"/>
      <c r="BK105" s="160"/>
    </row>
    <row r="106" spans="1:63" x14ac:dyDescent="0.2">
      <c r="A106" s="362"/>
      <c r="B106" s="23"/>
      <c r="C106" s="160"/>
      <c r="D106" s="23"/>
      <c r="E106" s="160"/>
      <c r="F106" s="23"/>
      <c r="G106" s="160"/>
      <c r="H106" s="23"/>
      <c r="I106" s="156"/>
      <c r="J106" s="127"/>
      <c r="K106" s="156"/>
      <c r="L106" s="127"/>
      <c r="M106" s="156"/>
      <c r="N106" s="127"/>
      <c r="O106" s="156"/>
      <c r="Q106" s="157"/>
      <c r="R106" s="157"/>
      <c r="S106" s="164"/>
      <c r="T106" s="157"/>
      <c r="U106" s="157"/>
      <c r="V106" s="157"/>
      <c r="W106" s="157"/>
      <c r="X106" s="157"/>
      <c r="Y106" s="157"/>
      <c r="Z106" s="157"/>
      <c r="AA106" s="164"/>
      <c r="AB106" s="157"/>
      <c r="AC106" s="157"/>
      <c r="AD106" s="157"/>
      <c r="AE106" s="157"/>
      <c r="AF106" s="157"/>
      <c r="AG106" s="157"/>
      <c r="AH106" s="157"/>
      <c r="AO106" s="157"/>
      <c r="AP106" s="127"/>
      <c r="AQ106" s="157"/>
      <c r="AR106" s="157"/>
      <c r="AS106" s="127"/>
      <c r="AT106" s="157"/>
      <c r="AU106" s="127"/>
      <c r="AV106" s="390"/>
      <c r="AW106" s="157"/>
      <c r="AX106" s="127"/>
      <c r="AY106" s="390"/>
      <c r="AZ106" s="157"/>
      <c r="BA106" s="127"/>
      <c r="BB106" s="390"/>
      <c r="BC106" s="127"/>
      <c r="BD106" s="127"/>
      <c r="BE106" s="390"/>
      <c r="BF106" s="157"/>
      <c r="BG106" s="157"/>
      <c r="BH106" s="157"/>
      <c r="BI106" s="157"/>
      <c r="BJ106" s="157"/>
      <c r="BK106" s="160"/>
    </row>
    <row r="107" spans="1:63" x14ac:dyDescent="0.2">
      <c r="A107" s="362"/>
      <c r="B107" s="23"/>
      <c r="C107" s="160"/>
      <c r="D107" s="23"/>
      <c r="E107" s="160"/>
      <c r="F107" s="23"/>
      <c r="G107" s="160"/>
      <c r="H107" s="23"/>
      <c r="I107" s="156"/>
      <c r="J107" s="127"/>
      <c r="K107" s="156"/>
      <c r="L107" s="127"/>
      <c r="M107" s="156"/>
      <c r="N107" s="127"/>
      <c r="O107" s="156"/>
      <c r="Q107" s="157"/>
      <c r="R107" s="157"/>
      <c r="S107" s="164"/>
      <c r="T107" s="157"/>
      <c r="U107" s="157"/>
      <c r="V107" s="157"/>
      <c r="W107" s="157"/>
      <c r="X107" s="157"/>
      <c r="Y107" s="157"/>
      <c r="Z107" s="157"/>
      <c r="AA107" s="164"/>
      <c r="AB107" s="157"/>
      <c r="AC107" s="157"/>
      <c r="AD107" s="157"/>
      <c r="AE107" s="157"/>
      <c r="AF107" s="157"/>
      <c r="AG107" s="157"/>
      <c r="AH107" s="157"/>
      <c r="AO107" s="157"/>
      <c r="AP107" s="127"/>
      <c r="AQ107" s="157"/>
      <c r="AR107" s="157"/>
      <c r="AS107" s="127"/>
      <c r="AT107" s="157"/>
      <c r="AU107" s="127"/>
      <c r="AV107" s="390"/>
      <c r="AW107" s="157"/>
      <c r="AX107" s="127"/>
      <c r="AY107" s="390"/>
      <c r="AZ107" s="157"/>
      <c r="BA107" s="127"/>
      <c r="BB107" s="390"/>
      <c r="BC107" s="127"/>
      <c r="BD107" s="127"/>
      <c r="BE107" s="390"/>
      <c r="BF107" s="157"/>
      <c r="BG107" s="157"/>
      <c r="BH107" s="157"/>
      <c r="BI107" s="157"/>
      <c r="BJ107" s="157"/>
      <c r="BK107" s="160"/>
    </row>
    <row r="108" spans="1:63" x14ac:dyDescent="0.2">
      <c r="A108" s="362"/>
      <c r="B108" s="23"/>
      <c r="C108" s="160"/>
      <c r="D108" s="23"/>
      <c r="E108" s="160"/>
      <c r="F108" s="23"/>
      <c r="G108" s="160"/>
      <c r="H108" s="23"/>
      <c r="I108" s="156"/>
      <c r="J108" s="127"/>
      <c r="K108" s="156"/>
      <c r="L108" s="127"/>
      <c r="M108" s="156"/>
      <c r="N108" s="127"/>
      <c r="O108" s="156"/>
      <c r="Q108" s="157"/>
      <c r="R108" s="157"/>
      <c r="S108" s="164"/>
      <c r="T108" s="157"/>
      <c r="U108" s="157"/>
      <c r="V108" s="157"/>
      <c r="W108" s="157"/>
      <c r="X108" s="157"/>
      <c r="Y108" s="157"/>
      <c r="Z108" s="157"/>
      <c r="AA108" s="164"/>
      <c r="AB108" s="157"/>
      <c r="AC108" s="157"/>
      <c r="AD108" s="157"/>
      <c r="AE108" s="157"/>
      <c r="AF108" s="157"/>
      <c r="AG108" s="157"/>
      <c r="AH108" s="157"/>
      <c r="AO108" s="157"/>
      <c r="AP108" s="127"/>
      <c r="AQ108" s="157"/>
      <c r="AR108" s="157"/>
      <c r="AS108" s="127"/>
      <c r="AT108" s="157"/>
      <c r="AU108" s="127"/>
      <c r="AV108" s="390"/>
      <c r="AW108" s="157"/>
      <c r="AX108" s="127"/>
      <c r="AY108" s="390"/>
      <c r="AZ108" s="157"/>
      <c r="BA108" s="127"/>
      <c r="BB108" s="390"/>
      <c r="BC108" s="127"/>
      <c r="BD108" s="127"/>
      <c r="BE108" s="390"/>
      <c r="BF108" s="157"/>
      <c r="BG108" s="157"/>
      <c r="BH108" s="157"/>
      <c r="BI108" s="157"/>
      <c r="BJ108" s="157"/>
      <c r="BK108" s="160"/>
    </row>
    <row r="109" spans="1:63" x14ac:dyDescent="0.2">
      <c r="A109" s="362"/>
      <c r="B109" s="23"/>
      <c r="C109" s="160"/>
      <c r="D109" s="23"/>
      <c r="E109" s="160"/>
      <c r="F109" s="23"/>
      <c r="G109" s="160"/>
      <c r="H109" s="23"/>
      <c r="I109" s="156"/>
      <c r="J109" s="127"/>
      <c r="K109" s="156"/>
      <c r="L109" s="127"/>
      <c r="M109" s="156"/>
      <c r="N109" s="127"/>
      <c r="O109" s="156"/>
      <c r="Q109" s="157"/>
      <c r="R109" s="157"/>
      <c r="S109" s="164"/>
      <c r="T109" s="157"/>
      <c r="U109" s="157"/>
      <c r="V109" s="157"/>
      <c r="W109" s="157"/>
      <c r="X109" s="157"/>
      <c r="Y109" s="157"/>
      <c r="Z109" s="157"/>
      <c r="AA109" s="164"/>
      <c r="AB109" s="157"/>
      <c r="AC109" s="157"/>
      <c r="AD109" s="157"/>
      <c r="AE109" s="157"/>
      <c r="AF109" s="157"/>
      <c r="AG109" s="157"/>
      <c r="AH109" s="157"/>
      <c r="AO109" s="157"/>
      <c r="AP109" s="127"/>
      <c r="AQ109" s="157"/>
      <c r="AR109" s="157"/>
      <c r="AS109" s="127"/>
      <c r="AT109" s="157"/>
      <c r="AU109" s="127"/>
      <c r="AV109" s="390"/>
      <c r="AW109" s="157"/>
      <c r="AX109" s="127"/>
      <c r="AY109" s="390"/>
      <c r="AZ109" s="157"/>
      <c r="BA109" s="127"/>
      <c r="BB109" s="390"/>
      <c r="BC109" s="127"/>
      <c r="BD109" s="127"/>
      <c r="BE109" s="390"/>
      <c r="BF109" s="157"/>
      <c r="BG109" s="157"/>
      <c r="BH109" s="157"/>
      <c r="BI109" s="157"/>
      <c r="BJ109" s="157"/>
      <c r="BK109" s="160"/>
    </row>
    <row r="110" spans="1:63" x14ac:dyDescent="0.2">
      <c r="A110" s="362"/>
      <c r="B110" s="23"/>
      <c r="C110" s="160"/>
      <c r="D110" s="23"/>
      <c r="E110" s="160"/>
      <c r="F110" s="23"/>
      <c r="G110" s="160"/>
      <c r="H110" s="23"/>
      <c r="I110" s="156"/>
      <c r="J110" s="127"/>
      <c r="K110" s="156"/>
      <c r="L110" s="127"/>
      <c r="M110" s="156"/>
      <c r="N110" s="127"/>
      <c r="O110" s="156"/>
      <c r="Q110" s="157"/>
      <c r="R110" s="157"/>
      <c r="S110" s="164"/>
      <c r="T110" s="157"/>
      <c r="U110" s="157"/>
      <c r="V110" s="157"/>
      <c r="W110" s="157"/>
      <c r="X110" s="157"/>
      <c r="Y110" s="157"/>
      <c r="Z110" s="157"/>
      <c r="AA110" s="164"/>
      <c r="AB110" s="157"/>
      <c r="AC110" s="157"/>
      <c r="AD110" s="157"/>
      <c r="AE110" s="157"/>
      <c r="AF110" s="157"/>
      <c r="AG110" s="157"/>
      <c r="AH110" s="157"/>
      <c r="AO110" s="157"/>
      <c r="AP110" s="127"/>
      <c r="AQ110" s="157"/>
      <c r="AR110" s="157"/>
      <c r="AS110" s="127"/>
      <c r="AT110" s="157"/>
      <c r="AU110" s="127"/>
      <c r="AV110" s="390"/>
      <c r="AW110" s="157"/>
      <c r="AX110" s="127"/>
      <c r="AY110" s="390"/>
      <c r="AZ110" s="157"/>
      <c r="BA110" s="127"/>
      <c r="BB110" s="390"/>
      <c r="BC110" s="127"/>
      <c r="BD110" s="127"/>
      <c r="BE110" s="390"/>
      <c r="BF110" s="157"/>
      <c r="BG110" s="157"/>
      <c r="BH110" s="157"/>
      <c r="BI110" s="157"/>
      <c r="BJ110" s="157"/>
      <c r="BK110" s="160"/>
    </row>
    <row r="111" spans="1:63" x14ac:dyDescent="0.2">
      <c r="A111" s="362"/>
      <c r="B111" s="23"/>
      <c r="C111" s="160"/>
      <c r="D111" s="23"/>
      <c r="E111" s="160"/>
      <c r="F111" s="23"/>
      <c r="G111" s="160"/>
      <c r="H111" s="23"/>
      <c r="I111" s="156"/>
      <c r="J111" s="127"/>
      <c r="K111" s="156"/>
      <c r="L111" s="127"/>
      <c r="M111" s="156"/>
      <c r="N111" s="127"/>
      <c r="O111" s="156"/>
      <c r="Q111" s="157"/>
      <c r="R111" s="157"/>
      <c r="S111" s="164"/>
      <c r="T111" s="157"/>
      <c r="U111" s="157"/>
      <c r="V111" s="157"/>
      <c r="W111" s="157"/>
      <c r="X111" s="157"/>
      <c r="Y111" s="157"/>
      <c r="Z111" s="157"/>
      <c r="AA111" s="164"/>
      <c r="AB111" s="157"/>
      <c r="AC111" s="157"/>
      <c r="AD111" s="157"/>
      <c r="AE111" s="157"/>
      <c r="AF111" s="157"/>
      <c r="AG111" s="157"/>
      <c r="AH111" s="157"/>
      <c r="AO111" s="157"/>
      <c r="AP111" s="127"/>
      <c r="AQ111" s="157"/>
      <c r="AR111" s="157"/>
      <c r="AS111" s="127"/>
      <c r="AT111" s="157"/>
      <c r="AU111" s="127"/>
      <c r="AV111" s="390"/>
      <c r="AW111" s="157"/>
      <c r="AX111" s="127"/>
      <c r="AY111" s="390"/>
      <c r="AZ111" s="157"/>
      <c r="BA111" s="127"/>
      <c r="BB111" s="390"/>
      <c r="BC111" s="127"/>
      <c r="BD111" s="127"/>
      <c r="BE111" s="390"/>
      <c r="BF111" s="157"/>
      <c r="BG111" s="157"/>
      <c r="BH111" s="157"/>
      <c r="BI111" s="157"/>
      <c r="BJ111" s="157"/>
      <c r="BK111" s="160"/>
    </row>
    <row r="112" spans="1:63" x14ac:dyDescent="0.2">
      <c r="A112" s="362"/>
      <c r="B112" s="23"/>
      <c r="C112" s="160"/>
      <c r="D112" s="23"/>
      <c r="E112" s="160"/>
      <c r="F112" s="23"/>
      <c r="G112" s="160"/>
      <c r="H112" s="23"/>
      <c r="I112" s="156"/>
      <c r="J112" s="127"/>
      <c r="K112" s="156"/>
      <c r="L112" s="127"/>
      <c r="M112" s="156"/>
      <c r="N112" s="127"/>
      <c r="O112" s="156"/>
      <c r="Q112" s="157"/>
      <c r="R112" s="157"/>
      <c r="S112" s="164"/>
      <c r="T112" s="157"/>
      <c r="U112" s="157"/>
      <c r="V112" s="157"/>
      <c r="W112" s="157"/>
      <c r="X112" s="157"/>
      <c r="Y112" s="157"/>
      <c r="Z112" s="157"/>
      <c r="AA112" s="164"/>
      <c r="AB112" s="157"/>
      <c r="AC112" s="157"/>
      <c r="AD112" s="157"/>
      <c r="AE112" s="157"/>
      <c r="AF112" s="157"/>
      <c r="AG112" s="157"/>
      <c r="AH112" s="157"/>
      <c r="AO112" s="157"/>
      <c r="AP112" s="127"/>
      <c r="AQ112" s="157"/>
      <c r="AR112" s="157"/>
      <c r="AS112" s="127"/>
      <c r="AT112" s="157"/>
      <c r="AU112" s="127"/>
      <c r="AV112" s="390"/>
      <c r="AW112" s="157"/>
      <c r="AX112" s="127"/>
      <c r="AY112" s="390"/>
      <c r="AZ112" s="157"/>
      <c r="BA112" s="127"/>
      <c r="BB112" s="390"/>
      <c r="BC112" s="127"/>
      <c r="BD112" s="127"/>
      <c r="BE112" s="390"/>
      <c r="BF112" s="157"/>
      <c r="BG112" s="157"/>
      <c r="BH112" s="157"/>
      <c r="BI112" s="157"/>
      <c r="BJ112" s="157"/>
      <c r="BK112" s="160"/>
    </row>
    <row r="113" spans="1:63" x14ac:dyDescent="0.2">
      <c r="A113" s="362"/>
      <c r="B113" s="23"/>
      <c r="C113" s="160"/>
      <c r="D113" s="23"/>
      <c r="E113" s="160"/>
      <c r="F113" s="23"/>
      <c r="G113" s="160"/>
      <c r="H113" s="23"/>
      <c r="I113" s="156"/>
      <c r="J113" s="127"/>
      <c r="K113" s="156"/>
      <c r="L113" s="127"/>
      <c r="M113" s="156"/>
      <c r="N113" s="127"/>
      <c r="O113" s="156"/>
      <c r="Q113" s="157"/>
      <c r="R113" s="157"/>
      <c r="S113" s="164"/>
      <c r="T113" s="157"/>
      <c r="U113" s="157"/>
      <c r="V113" s="157"/>
      <c r="W113" s="157"/>
      <c r="X113" s="157"/>
      <c r="Y113" s="157"/>
      <c r="Z113" s="157"/>
      <c r="AA113" s="164"/>
      <c r="AB113" s="157"/>
      <c r="AC113" s="157"/>
      <c r="AD113" s="157"/>
      <c r="AE113" s="157"/>
      <c r="AF113" s="157"/>
      <c r="AG113" s="157"/>
      <c r="AH113" s="157"/>
      <c r="AO113" s="157"/>
      <c r="AP113" s="127"/>
      <c r="AQ113" s="157"/>
      <c r="AR113" s="157"/>
      <c r="AS113" s="127"/>
      <c r="AT113" s="157"/>
      <c r="AU113" s="127"/>
      <c r="AV113" s="390"/>
      <c r="AW113" s="157"/>
      <c r="AX113" s="127"/>
      <c r="AY113" s="390"/>
      <c r="AZ113" s="157"/>
      <c r="BA113" s="127"/>
      <c r="BB113" s="390"/>
      <c r="BC113" s="127"/>
      <c r="BD113" s="127"/>
      <c r="BE113" s="390"/>
      <c r="BF113" s="157"/>
      <c r="BG113" s="157"/>
      <c r="BH113" s="157"/>
      <c r="BI113" s="157"/>
      <c r="BJ113" s="157"/>
      <c r="BK113" s="160"/>
    </row>
    <row r="114" spans="1:63" x14ac:dyDescent="0.2">
      <c r="A114" s="362"/>
      <c r="B114" s="23"/>
      <c r="C114" s="160"/>
      <c r="D114" s="23"/>
      <c r="E114" s="160"/>
      <c r="F114" s="23"/>
      <c r="G114" s="160"/>
      <c r="H114" s="23"/>
      <c r="I114" s="156"/>
      <c r="J114" s="127"/>
      <c r="K114" s="156"/>
      <c r="L114" s="127"/>
      <c r="M114" s="156"/>
      <c r="N114" s="127"/>
      <c r="O114" s="156"/>
      <c r="Q114" s="157"/>
      <c r="R114" s="157"/>
      <c r="S114" s="164"/>
      <c r="T114" s="157"/>
      <c r="U114" s="157"/>
      <c r="V114" s="157"/>
      <c r="W114" s="157"/>
      <c r="X114" s="157"/>
      <c r="Y114" s="157"/>
      <c r="Z114" s="157"/>
      <c r="AA114" s="164"/>
      <c r="AB114" s="157"/>
      <c r="AC114" s="157"/>
      <c r="AD114" s="157"/>
      <c r="AE114" s="157"/>
      <c r="AF114" s="157"/>
      <c r="AG114" s="157"/>
      <c r="AH114" s="157"/>
      <c r="AO114" s="157"/>
      <c r="AP114" s="127"/>
      <c r="AQ114" s="157"/>
      <c r="AR114" s="157"/>
      <c r="AS114" s="127"/>
      <c r="AT114" s="157"/>
      <c r="AU114" s="127"/>
      <c r="AV114" s="390"/>
      <c r="AW114" s="157"/>
      <c r="AX114" s="127"/>
      <c r="AY114" s="390"/>
      <c r="AZ114" s="157"/>
      <c r="BA114" s="127"/>
      <c r="BB114" s="390"/>
      <c r="BC114" s="127"/>
      <c r="BD114" s="127"/>
      <c r="BE114" s="390"/>
      <c r="BF114" s="157"/>
      <c r="BG114" s="157"/>
      <c r="BH114" s="157"/>
      <c r="BI114" s="157"/>
      <c r="BJ114" s="157"/>
      <c r="BK114" s="160"/>
    </row>
    <row r="115" spans="1:63" x14ac:dyDescent="0.2">
      <c r="A115" s="362"/>
      <c r="B115" s="23"/>
      <c r="C115" s="160"/>
      <c r="D115" s="23"/>
      <c r="E115" s="160"/>
      <c r="F115" s="23"/>
      <c r="G115" s="160"/>
      <c r="H115" s="23"/>
      <c r="I115" s="156"/>
      <c r="J115" s="127"/>
      <c r="K115" s="156"/>
      <c r="L115" s="127"/>
      <c r="M115" s="156"/>
      <c r="N115" s="127"/>
      <c r="O115" s="156"/>
      <c r="Q115" s="157"/>
      <c r="R115" s="157"/>
      <c r="S115" s="164"/>
      <c r="T115" s="157"/>
      <c r="U115" s="157"/>
      <c r="V115" s="157"/>
      <c r="W115" s="157"/>
      <c r="X115" s="157"/>
      <c r="Y115" s="157"/>
      <c r="Z115" s="157"/>
      <c r="AA115" s="164"/>
      <c r="AB115" s="157"/>
      <c r="AC115" s="157"/>
      <c r="AD115" s="157"/>
      <c r="AE115" s="157"/>
      <c r="AF115" s="157"/>
      <c r="AG115" s="157"/>
      <c r="AH115" s="157"/>
      <c r="AO115" s="157"/>
      <c r="AP115" s="127"/>
      <c r="AQ115" s="157"/>
      <c r="AR115" s="157"/>
      <c r="AS115" s="127"/>
      <c r="AT115" s="157"/>
      <c r="AU115" s="127"/>
      <c r="AV115" s="390"/>
      <c r="AW115" s="157"/>
      <c r="AX115" s="127"/>
      <c r="AY115" s="390"/>
      <c r="AZ115" s="157"/>
      <c r="BA115" s="127"/>
      <c r="BB115" s="390"/>
      <c r="BC115" s="127"/>
      <c r="BD115" s="127"/>
      <c r="BE115" s="390"/>
      <c r="BF115" s="157"/>
      <c r="BG115" s="157"/>
      <c r="BH115" s="157"/>
      <c r="BI115" s="157"/>
      <c r="BJ115" s="157"/>
      <c r="BK115" s="160"/>
    </row>
    <row r="116" spans="1:63" x14ac:dyDescent="0.2">
      <c r="A116" s="362"/>
      <c r="B116" s="23"/>
      <c r="C116" s="160"/>
      <c r="D116" s="23"/>
      <c r="E116" s="160"/>
      <c r="F116" s="23"/>
      <c r="G116" s="160"/>
      <c r="H116" s="23"/>
      <c r="I116" s="156"/>
      <c r="J116" s="127"/>
      <c r="K116" s="156"/>
      <c r="L116" s="127"/>
      <c r="M116" s="156"/>
      <c r="N116" s="127"/>
      <c r="O116" s="156"/>
      <c r="Q116" s="157"/>
      <c r="R116" s="157"/>
      <c r="S116" s="164"/>
      <c r="T116" s="157"/>
      <c r="U116" s="157"/>
      <c r="V116" s="157"/>
      <c r="W116" s="157"/>
      <c r="X116" s="157"/>
      <c r="Y116" s="157"/>
      <c r="Z116" s="157"/>
      <c r="AA116" s="164"/>
      <c r="AB116" s="157"/>
      <c r="AC116" s="157"/>
      <c r="AD116" s="157"/>
      <c r="AE116" s="157"/>
      <c r="AF116" s="157"/>
      <c r="AG116" s="157"/>
      <c r="AH116" s="157"/>
      <c r="AO116" s="157"/>
      <c r="AP116" s="127"/>
      <c r="AQ116" s="157"/>
      <c r="AR116" s="157"/>
      <c r="AS116" s="127"/>
      <c r="AT116" s="157"/>
      <c r="AU116" s="127"/>
      <c r="AV116" s="390"/>
      <c r="AW116" s="157"/>
      <c r="AX116" s="127"/>
      <c r="AY116" s="390"/>
      <c r="AZ116" s="157"/>
      <c r="BA116" s="127"/>
      <c r="BB116" s="390"/>
      <c r="BC116" s="127"/>
      <c r="BD116" s="127"/>
      <c r="BE116" s="390"/>
      <c r="BF116" s="157"/>
      <c r="BG116" s="157"/>
      <c r="BH116" s="157"/>
      <c r="BI116" s="157"/>
      <c r="BJ116" s="157"/>
      <c r="BK116" s="160"/>
    </row>
    <row r="117" spans="1:63" x14ac:dyDescent="0.2">
      <c r="A117" s="362"/>
      <c r="B117" s="23"/>
      <c r="C117" s="160"/>
      <c r="D117" s="23"/>
      <c r="E117" s="160"/>
      <c r="F117" s="23"/>
      <c r="G117" s="160"/>
      <c r="H117" s="23"/>
      <c r="I117" s="156"/>
      <c r="J117" s="127"/>
      <c r="K117" s="156"/>
      <c r="L117" s="127"/>
      <c r="M117" s="156"/>
      <c r="N117" s="127"/>
      <c r="O117" s="156"/>
      <c r="Q117" s="157"/>
      <c r="R117" s="157"/>
      <c r="S117" s="164"/>
      <c r="T117" s="157"/>
      <c r="U117" s="157"/>
      <c r="V117" s="157"/>
      <c r="W117" s="157"/>
      <c r="X117" s="157"/>
      <c r="Y117" s="157"/>
      <c r="Z117" s="157"/>
      <c r="AA117" s="164"/>
      <c r="AB117" s="157"/>
      <c r="AC117" s="157"/>
      <c r="AD117" s="157"/>
      <c r="AE117" s="157"/>
      <c r="AF117" s="157"/>
      <c r="AG117" s="157"/>
      <c r="AH117" s="157"/>
      <c r="AO117" s="157"/>
      <c r="AP117" s="127"/>
      <c r="AQ117" s="157"/>
      <c r="AR117" s="157"/>
      <c r="AS117" s="127"/>
      <c r="AT117" s="157"/>
      <c r="AU117" s="127"/>
      <c r="AV117" s="390"/>
      <c r="AW117" s="157"/>
      <c r="AX117" s="127"/>
      <c r="AY117" s="390"/>
      <c r="AZ117" s="157"/>
      <c r="BA117" s="127"/>
      <c r="BB117" s="390"/>
      <c r="BC117" s="127"/>
      <c r="BD117" s="127"/>
      <c r="BE117" s="390"/>
      <c r="BF117" s="157"/>
      <c r="BG117" s="157"/>
      <c r="BH117" s="157"/>
      <c r="BI117" s="157"/>
      <c r="BJ117" s="157"/>
      <c r="BK117" s="160"/>
    </row>
    <row r="118" spans="1:63" x14ac:dyDescent="0.2">
      <c r="A118" s="362"/>
      <c r="B118" s="23"/>
      <c r="C118" s="160"/>
      <c r="D118" s="23"/>
      <c r="E118" s="160"/>
      <c r="F118" s="23"/>
      <c r="G118" s="160"/>
      <c r="H118" s="23"/>
      <c r="I118" s="156"/>
      <c r="J118" s="127"/>
      <c r="K118" s="156"/>
      <c r="L118" s="127"/>
      <c r="M118" s="156"/>
      <c r="N118" s="127"/>
      <c r="O118" s="156"/>
      <c r="Q118" s="157"/>
      <c r="R118" s="157"/>
      <c r="S118" s="164"/>
      <c r="T118" s="157"/>
      <c r="U118" s="157"/>
      <c r="V118" s="157"/>
      <c r="W118" s="157"/>
      <c r="X118" s="157"/>
      <c r="Y118" s="157"/>
      <c r="Z118" s="157"/>
      <c r="AA118" s="164"/>
      <c r="AB118" s="157"/>
      <c r="AC118" s="157"/>
      <c r="AD118" s="157"/>
      <c r="AE118" s="157"/>
      <c r="AF118" s="157"/>
      <c r="AG118" s="157"/>
      <c r="AH118" s="157"/>
      <c r="AO118" s="157"/>
      <c r="AP118" s="127"/>
      <c r="AQ118" s="157"/>
      <c r="AR118" s="157"/>
      <c r="AS118" s="127"/>
      <c r="AT118" s="157"/>
      <c r="AU118" s="127"/>
      <c r="AV118" s="390"/>
      <c r="AW118" s="157"/>
      <c r="AX118" s="127"/>
      <c r="AY118" s="390"/>
      <c r="AZ118" s="157"/>
      <c r="BA118" s="127"/>
      <c r="BB118" s="390"/>
      <c r="BC118" s="127"/>
      <c r="BD118" s="127"/>
      <c r="BE118" s="390"/>
      <c r="BF118" s="157"/>
      <c r="BG118" s="157"/>
      <c r="BH118" s="157"/>
      <c r="BI118" s="157"/>
      <c r="BJ118" s="157"/>
      <c r="BK118" s="160"/>
    </row>
    <row r="119" spans="1:63" x14ac:dyDescent="0.2">
      <c r="A119" s="362"/>
      <c r="B119" s="23"/>
      <c r="C119" s="160"/>
      <c r="D119" s="23"/>
      <c r="E119" s="160"/>
      <c r="F119" s="23"/>
      <c r="G119" s="160"/>
      <c r="H119" s="23"/>
      <c r="I119" s="156"/>
      <c r="J119" s="127"/>
      <c r="K119" s="156"/>
      <c r="L119" s="127"/>
      <c r="M119" s="156"/>
      <c r="N119" s="127"/>
      <c r="O119" s="156"/>
      <c r="Q119" s="157"/>
      <c r="R119" s="157"/>
      <c r="S119" s="164"/>
      <c r="T119" s="157"/>
      <c r="U119" s="157"/>
      <c r="V119" s="157"/>
      <c r="W119" s="157"/>
      <c r="X119" s="157"/>
      <c r="Y119" s="157"/>
      <c r="Z119" s="157"/>
      <c r="AA119" s="164"/>
      <c r="AB119" s="157"/>
      <c r="AC119" s="157"/>
      <c r="AD119" s="157"/>
      <c r="AE119" s="157"/>
      <c r="AF119" s="157"/>
      <c r="AG119" s="157"/>
      <c r="AH119" s="157"/>
      <c r="AO119" s="157"/>
      <c r="AP119" s="127"/>
      <c r="AQ119" s="157"/>
      <c r="AR119" s="157"/>
      <c r="AS119" s="127"/>
      <c r="AT119" s="157"/>
      <c r="AU119" s="127"/>
      <c r="AV119" s="390"/>
      <c r="AW119" s="157"/>
      <c r="AX119" s="127"/>
      <c r="AY119" s="390"/>
      <c r="AZ119" s="157"/>
      <c r="BA119" s="127"/>
      <c r="BB119" s="390"/>
      <c r="BC119" s="127"/>
      <c r="BD119" s="127"/>
      <c r="BE119" s="390"/>
      <c r="BF119" s="157"/>
      <c r="BG119" s="157"/>
      <c r="BH119" s="157"/>
      <c r="BI119" s="157"/>
      <c r="BJ119" s="157"/>
      <c r="BK119" s="160"/>
    </row>
    <row r="120" spans="1:63" x14ac:dyDescent="0.2">
      <c r="A120" s="362"/>
      <c r="B120" s="23"/>
      <c r="C120" s="160"/>
      <c r="D120" s="23"/>
      <c r="E120" s="160"/>
      <c r="F120" s="23"/>
      <c r="G120" s="160"/>
      <c r="H120" s="23"/>
      <c r="I120" s="156"/>
      <c r="J120" s="127"/>
      <c r="K120" s="156"/>
      <c r="L120" s="127"/>
      <c r="M120" s="156"/>
      <c r="N120" s="127"/>
      <c r="O120" s="156"/>
      <c r="Q120" s="157"/>
      <c r="R120" s="157"/>
      <c r="S120" s="164"/>
      <c r="T120" s="157"/>
      <c r="U120" s="157"/>
      <c r="V120" s="157"/>
      <c r="W120" s="157"/>
      <c r="X120" s="157"/>
      <c r="Y120" s="157"/>
      <c r="Z120" s="157"/>
      <c r="AA120" s="164"/>
      <c r="AB120" s="157"/>
      <c r="AC120" s="157"/>
      <c r="AD120" s="157"/>
      <c r="AE120" s="157"/>
      <c r="AF120" s="157"/>
      <c r="AG120" s="157"/>
      <c r="AH120" s="157"/>
      <c r="AO120" s="157"/>
      <c r="AP120" s="127"/>
      <c r="AQ120" s="157"/>
      <c r="AR120" s="157"/>
      <c r="AS120" s="127"/>
      <c r="AT120" s="157"/>
      <c r="AU120" s="127"/>
      <c r="AV120" s="390"/>
      <c r="AW120" s="157"/>
      <c r="AX120" s="127"/>
      <c r="AY120" s="390"/>
      <c r="AZ120" s="157"/>
      <c r="BA120" s="127"/>
      <c r="BB120" s="390"/>
      <c r="BC120" s="127"/>
      <c r="BD120" s="127"/>
      <c r="BE120" s="390"/>
      <c r="BF120" s="157"/>
      <c r="BG120" s="157"/>
      <c r="BH120" s="157"/>
      <c r="BI120" s="157"/>
      <c r="BJ120" s="157"/>
      <c r="BK120" s="160"/>
    </row>
    <row r="121" spans="1:63" x14ac:dyDescent="0.2">
      <c r="A121" s="362"/>
      <c r="B121" s="23"/>
      <c r="C121" s="160"/>
      <c r="D121" s="23"/>
      <c r="E121" s="160"/>
      <c r="F121" s="23"/>
      <c r="G121" s="160"/>
      <c r="H121" s="23"/>
      <c r="I121" s="156"/>
      <c r="J121" s="127"/>
      <c r="K121" s="156"/>
      <c r="L121" s="127"/>
      <c r="M121" s="156"/>
      <c r="N121" s="127"/>
      <c r="O121" s="156"/>
      <c r="Q121" s="157"/>
      <c r="R121" s="157"/>
      <c r="S121" s="164"/>
      <c r="T121" s="157"/>
      <c r="U121" s="157"/>
      <c r="V121" s="157"/>
      <c r="W121" s="157"/>
      <c r="X121" s="157"/>
      <c r="Y121" s="157"/>
      <c r="Z121" s="157"/>
      <c r="AA121" s="164"/>
      <c r="AB121" s="157"/>
      <c r="AC121" s="157"/>
      <c r="AD121" s="157"/>
      <c r="AE121" s="157"/>
      <c r="AF121" s="157"/>
      <c r="AG121" s="157"/>
      <c r="AH121" s="157"/>
      <c r="AO121" s="157"/>
      <c r="AP121" s="127"/>
      <c r="AQ121" s="157"/>
      <c r="AR121" s="157"/>
      <c r="AS121" s="127"/>
      <c r="AT121" s="157"/>
      <c r="AU121" s="127"/>
      <c r="AV121" s="390"/>
      <c r="AW121" s="157"/>
      <c r="AX121" s="127"/>
      <c r="AY121" s="390"/>
      <c r="AZ121" s="157"/>
      <c r="BA121" s="127"/>
      <c r="BB121" s="390"/>
      <c r="BC121" s="127"/>
      <c r="BD121" s="127"/>
      <c r="BE121" s="390"/>
      <c r="BF121" s="157"/>
      <c r="BG121" s="157"/>
      <c r="BH121" s="157"/>
      <c r="BI121" s="157"/>
      <c r="BJ121" s="157"/>
      <c r="BK121" s="160"/>
    </row>
    <row r="122" spans="1:63" x14ac:dyDescent="0.2">
      <c r="A122" s="362"/>
      <c r="B122" s="23"/>
      <c r="C122" s="160"/>
      <c r="D122" s="23"/>
      <c r="E122" s="160"/>
      <c r="F122" s="23"/>
      <c r="G122" s="160"/>
      <c r="H122" s="23"/>
      <c r="I122" s="156"/>
      <c r="J122" s="127"/>
      <c r="K122" s="156"/>
      <c r="L122" s="127"/>
      <c r="M122" s="156"/>
      <c r="N122" s="127"/>
      <c r="O122" s="156"/>
      <c r="Q122" s="157"/>
      <c r="R122" s="157"/>
      <c r="S122" s="164"/>
      <c r="T122" s="157"/>
      <c r="U122" s="157"/>
      <c r="V122" s="157"/>
      <c r="W122" s="157"/>
      <c r="X122" s="157"/>
      <c r="Y122" s="157"/>
      <c r="Z122" s="157"/>
      <c r="AA122" s="164"/>
      <c r="AB122" s="157"/>
      <c r="AC122" s="157"/>
      <c r="AD122" s="157"/>
      <c r="AE122" s="157"/>
      <c r="AF122" s="157"/>
      <c r="AG122" s="157"/>
      <c r="AH122" s="157"/>
      <c r="AO122" s="157"/>
      <c r="AP122" s="127"/>
      <c r="AQ122" s="157"/>
      <c r="AR122" s="157"/>
      <c r="AS122" s="127"/>
      <c r="AT122" s="157"/>
      <c r="AU122" s="127"/>
      <c r="AV122" s="390"/>
      <c r="AW122" s="157"/>
      <c r="AX122" s="127"/>
      <c r="AY122" s="390"/>
      <c r="AZ122" s="157"/>
      <c r="BA122" s="127"/>
      <c r="BB122" s="390"/>
      <c r="BC122" s="127"/>
      <c r="BD122" s="127"/>
      <c r="BE122" s="390"/>
      <c r="BF122" s="157"/>
      <c r="BG122" s="157"/>
      <c r="BH122" s="157"/>
      <c r="BI122" s="157"/>
      <c r="BJ122" s="157"/>
      <c r="BK122" s="160"/>
    </row>
    <row r="123" spans="1:63" x14ac:dyDescent="0.2">
      <c r="A123" s="362"/>
      <c r="B123" s="23"/>
      <c r="C123" s="160"/>
      <c r="D123" s="23"/>
      <c r="E123" s="160"/>
      <c r="F123" s="23"/>
      <c r="G123" s="160"/>
      <c r="H123" s="23"/>
      <c r="I123" s="156"/>
      <c r="J123" s="127"/>
      <c r="K123" s="156"/>
      <c r="L123" s="127"/>
      <c r="M123" s="156"/>
      <c r="N123" s="127"/>
      <c r="O123" s="156"/>
      <c r="Q123" s="157"/>
      <c r="R123" s="157"/>
      <c r="S123" s="164"/>
      <c r="T123" s="157"/>
      <c r="U123" s="157"/>
      <c r="V123" s="157"/>
      <c r="W123" s="157"/>
      <c r="X123" s="157"/>
      <c r="Y123" s="157"/>
      <c r="Z123" s="157"/>
      <c r="AA123" s="164"/>
      <c r="AB123" s="157"/>
      <c r="AC123" s="157"/>
      <c r="AD123" s="157"/>
      <c r="AE123" s="157"/>
      <c r="AF123" s="157"/>
      <c r="AG123" s="157"/>
      <c r="AH123" s="157"/>
      <c r="AO123" s="157"/>
      <c r="AP123" s="127"/>
      <c r="AQ123" s="157"/>
      <c r="AR123" s="157"/>
      <c r="AS123" s="127"/>
      <c r="AT123" s="157"/>
      <c r="AU123" s="127"/>
      <c r="AV123" s="390"/>
      <c r="AW123" s="157"/>
      <c r="AX123" s="127"/>
      <c r="AY123" s="390"/>
      <c r="AZ123" s="157"/>
      <c r="BA123" s="127"/>
      <c r="BB123" s="390"/>
      <c r="BC123" s="127"/>
      <c r="BD123" s="127"/>
      <c r="BE123" s="390"/>
      <c r="BF123" s="157"/>
      <c r="BG123" s="157"/>
      <c r="BH123" s="157"/>
      <c r="BI123" s="157"/>
      <c r="BJ123" s="157"/>
      <c r="BK123" s="160"/>
    </row>
    <row r="124" spans="1:63" x14ac:dyDescent="0.2">
      <c r="A124" s="362"/>
      <c r="B124" s="23"/>
      <c r="C124" s="160"/>
      <c r="D124" s="23"/>
      <c r="E124" s="160"/>
      <c r="F124" s="23"/>
      <c r="G124" s="160"/>
      <c r="H124" s="23"/>
      <c r="I124" s="156"/>
      <c r="J124" s="127"/>
      <c r="K124" s="156"/>
      <c r="L124" s="127"/>
      <c r="M124" s="156"/>
      <c r="N124" s="127"/>
      <c r="O124" s="156"/>
      <c r="Q124" s="157"/>
      <c r="R124" s="157"/>
      <c r="S124" s="164"/>
      <c r="T124" s="157"/>
      <c r="U124" s="157"/>
      <c r="V124" s="157"/>
      <c r="W124" s="157"/>
      <c r="X124" s="157"/>
      <c r="Y124" s="157"/>
      <c r="Z124" s="157"/>
      <c r="AA124" s="164"/>
      <c r="AB124" s="157"/>
      <c r="AC124" s="157"/>
      <c r="AD124" s="157"/>
      <c r="AE124" s="157"/>
      <c r="AF124" s="157"/>
      <c r="AG124" s="157"/>
      <c r="AH124" s="157"/>
      <c r="AO124" s="157"/>
      <c r="AP124" s="127"/>
      <c r="AQ124" s="157"/>
      <c r="AR124" s="157"/>
      <c r="AS124" s="127"/>
      <c r="AT124" s="157"/>
      <c r="AU124" s="127"/>
      <c r="AV124" s="390"/>
      <c r="AW124" s="157"/>
      <c r="AX124" s="127"/>
      <c r="AY124" s="390"/>
      <c r="AZ124" s="157"/>
      <c r="BA124" s="127"/>
      <c r="BB124" s="390"/>
      <c r="BC124" s="127"/>
      <c r="BD124" s="127"/>
      <c r="BE124" s="390"/>
      <c r="BF124" s="157"/>
      <c r="BG124" s="157"/>
      <c r="BH124" s="157"/>
      <c r="BI124" s="157"/>
      <c r="BJ124" s="157"/>
      <c r="BK124" s="160"/>
    </row>
    <row r="125" spans="1:63" x14ac:dyDescent="0.2">
      <c r="A125" s="362"/>
      <c r="B125" s="23"/>
      <c r="C125" s="160"/>
      <c r="D125" s="23"/>
      <c r="E125" s="160"/>
      <c r="F125" s="23"/>
      <c r="G125" s="160"/>
      <c r="H125" s="23"/>
      <c r="I125" s="156"/>
      <c r="J125" s="127"/>
      <c r="K125" s="156"/>
      <c r="L125" s="127"/>
      <c r="M125" s="156"/>
      <c r="N125" s="127"/>
      <c r="O125" s="156"/>
      <c r="Q125" s="157"/>
      <c r="R125" s="157"/>
      <c r="S125" s="164"/>
      <c r="T125" s="157"/>
      <c r="U125" s="157"/>
      <c r="V125" s="157"/>
      <c r="W125" s="157"/>
      <c r="X125" s="157"/>
      <c r="Y125" s="157"/>
      <c r="Z125" s="157"/>
      <c r="AA125" s="164"/>
      <c r="AB125" s="157"/>
      <c r="AC125" s="157"/>
      <c r="AD125" s="157"/>
      <c r="AE125" s="157"/>
      <c r="AF125" s="157"/>
      <c r="AG125" s="157"/>
      <c r="AH125" s="157"/>
      <c r="AO125" s="157"/>
      <c r="AP125" s="127"/>
      <c r="AQ125" s="157"/>
      <c r="AR125" s="157"/>
      <c r="AS125" s="127"/>
      <c r="AT125" s="157"/>
      <c r="AU125" s="127"/>
      <c r="AV125" s="390"/>
      <c r="AW125" s="157"/>
      <c r="AX125" s="127"/>
      <c r="AY125" s="390"/>
      <c r="AZ125" s="157"/>
      <c r="BA125" s="127"/>
      <c r="BB125" s="390"/>
      <c r="BC125" s="127"/>
      <c r="BD125" s="127"/>
      <c r="BE125" s="390"/>
      <c r="BF125" s="157"/>
      <c r="BG125" s="157"/>
      <c r="BH125" s="157"/>
      <c r="BI125" s="157"/>
      <c r="BJ125" s="157"/>
      <c r="BK125" s="160"/>
    </row>
    <row r="126" spans="1:63" x14ac:dyDescent="0.2">
      <c r="A126" s="362"/>
      <c r="B126" s="23"/>
      <c r="C126" s="160"/>
      <c r="D126" s="23"/>
      <c r="E126" s="160"/>
      <c r="F126" s="23"/>
      <c r="G126" s="160"/>
      <c r="H126" s="23"/>
      <c r="I126" s="156"/>
      <c r="J126" s="127"/>
      <c r="K126" s="156"/>
      <c r="L126" s="127"/>
      <c r="M126" s="156"/>
      <c r="N126" s="127"/>
      <c r="O126" s="156"/>
      <c r="Q126" s="157"/>
      <c r="R126" s="157"/>
      <c r="S126" s="164"/>
      <c r="T126" s="157"/>
      <c r="U126" s="157"/>
      <c r="V126" s="157"/>
      <c r="W126" s="157"/>
      <c r="X126" s="157"/>
      <c r="Y126" s="157"/>
      <c r="Z126" s="157"/>
      <c r="AA126" s="164"/>
      <c r="AB126" s="157"/>
      <c r="AC126" s="157"/>
      <c r="AD126" s="157"/>
      <c r="AE126" s="157"/>
      <c r="AF126" s="157"/>
      <c r="AG126" s="157"/>
      <c r="AH126" s="157"/>
      <c r="AO126" s="157"/>
      <c r="AP126" s="127"/>
      <c r="AQ126" s="157"/>
      <c r="AR126" s="157"/>
      <c r="AS126" s="127"/>
      <c r="AT126" s="157"/>
      <c r="AU126" s="127"/>
      <c r="AV126" s="390"/>
      <c r="AW126" s="157"/>
      <c r="AX126" s="127"/>
      <c r="AY126" s="390"/>
      <c r="AZ126" s="157"/>
      <c r="BA126" s="127"/>
      <c r="BB126" s="390"/>
      <c r="BC126" s="127"/>
      <c r="BD126" s="127"/>
      <c r="BE126" s="390"/>
      <c r="BF126" s="157"/>
      <c r="BG126" s="157"/>
      <c r="BH126" s="157"/>
      <c r="BI126" s="157"/>
      <c r="BJ126" s="157"/>
      <c r="BK126" s="160"/>
    </row>
    <row r="127" spans="1:63" x14ac:dyDescent="0.2">
      <c r="A127" s="362"/>
      <c r="B127" s="23"/>
      <c r="C127" s="160"/>
      <c r="D127" s="23"/>
      <c r="E127" s="160"/>
      <c r="F127" s="23"/>
      <c r="G127" s="160"/>
      <c r="H127" s="23"/>
      <c r="I127" s="156"/>
      <c r="J127" s="127"/>
      <c r="K127" s="156"/>
      <c r="L127" s="127"/>
      <c r="M127" s="156"/>
      <c r="N127" s="127"/>
      <c r="O127" s="156"/>
      <c r="Q127" s="157"/>
      <c r="R127" s="157"/>
      <c r="S127" s="164"/>
      <c r="T127" s="157"/>
      <c r="U127" s="157"/>
      <c r="V127" s="157"/>
      <c r="W127" s="157"/>
      <c r="X127" s="157"/>
      <c r="Y127" s="157"/>
      <c r="Z127" s="157"/>
      <c r="AA127" s="164"/>
      <c r="AB127" s="157"/>
      <c r="AC127" s="157"/>
      <c r="AD127" s="157"/>
      <c r="AE127" s="157"/>
      <c r="AF127" s="157"/>
      <c r="AG127" s="157"/>
      <c r="AH127" s="157"/>
      <c r="AO127" s="157"/>
      <c r="AP127" s="127"/>
      <c r="AQ127" s="157"/>
      <c r="AR127" s="157"/>
      <c r="AS127" s="127"/>
      <c r="AT127" s="157"/>
      <c r="AU127" s="127"/>
      <c r="AV127" s="390"/>
      <c r="AW127" s="157"/>
      <c r="AX127" s="127"/>
      <c r="AY127" s="390"/>
      <c r="AZ127" s="157"/>
      <c r="BA127" s="127"/>
      <c r="BB127" s="390"/>
      <c r="BC127" s="127"/>
      <c r="BD127" s="127"/>
      <c r="BE127" s="390"/>
      <c r="BF127" s="157"/>
      <c r="BG127" s="157"/>
      <c r="BH127" s="157"/>
      <c r="BI127" s="157"/>
      <c r="BJ127" s="157"/>
      <c r="BK127" s="160"/>
    </row>
    <row r="128" spans="1:63" x14ac:dyDescent="0.2">
      <c r="A128" s="362"/>
      <c r="B128" s="23"/>
      <c r="C128" s="160"/>
      <c r="D128" s="23"/>
      <c r="E128" s="160"/>
      <c r="F128" s="23"/>
      <c r="G128" s="160"/>
      <c r="H128" s="23"/>
      <c r="I128" s="156"/>
      <c r="J128" s="127"/>
      <c r="K128" s="156"/>
      <c r="L128" s="127"/>
      <c r="M128" s="156"/>
      <c r="N128" s="127"/>
      <c r="O128" s="156"/>
      <c r="Q128" s="157"/>
      <c r="R128" s="157"/>
      <c r="S128" s="164"/>
      <c r="T128" s="157"/>
      <c r="U128" s="157"/>
      <c r="V128" s="157"/>
      <c r="W128" s="157"/>
      <c r="X128" s="157"/>
      <c r="Y128" s="157"/>
      <c r="Z128" s="157"/>
      <c r="AA128" s="164"/>
      <c r="AB128" s="157"/>
      <c r="AC128" s="157"/>
      <c r="AD128" s="157"/>
      <c r="AE128" s="157"/>
      <c r="AF128" s="157"/>
      <c r="AG128" s="157"/>
      <c r="AH128" s="157"/>
      <c r="AO128" s="157"/>
      <c r="AP128" s="127"/>
      <c r="AQ128" s="157"/>
      <c r="AR128" s="157"/>
      <c r="AS128" s="127"/>
      <c r="AT128" s="157"/>
      <c r="AU128" s="127"/>
      <c r="AV128" s="390"/>
      <c r="AW128" s="157"/>
      <c r="AX128" s="127"/>
      <c r="AY128" s="390"/>
      <c r="AZ128" s="157"/>
      <c r="BA128" s="127"/>
      <c r="BB128" s="390"/>
      <c r="BC128" s="127"/>
      <c r="BD128" s="127"/>
      <c r="BE128" s="390"/>
      <c r="BF128" s="157"/>
      <c r="BG128" s="157"/>
      <c r="BH128" s="157"/>
      <c r="BI128" s="157"/>
      <c r="BJ128" s="157"/>
      <c r="BK128" s="160"/>
    </row>
    <row r="129" spans="1:63" x14ac:dyDescent="0.2">
      <c r="A129" s="362"/>
      <c r="B129" s="23"/>
      <c r="C129" s="160"/>
      <c r="D129" s="23"/>
      <c r="E129" s="160"/>
      <c r="F129" s="23"/>
      <c r="G129" s="160"/>
      <c r="H129" s="23"/>
      <c r="I129" s="156"/>
      <c r="J129" s="127"/>
      <c r="K129" s="156"/>
      <c r="L129" s="127"/>
      <c r="M129" s="156"/>
      <c r="N129" s="127"/>
      <c r="O129" s="156"/>
      <c r="Q129" s="157"/>
      <c r="R129" s="157"/>
      <c r="S129" s="164"/>
      <c r="T129" s="157"/>
      <c r="U129" s="157"/>
      <c r="V129" s="157"/>
      <c r="W129" s="157"/>
      <c r="X129" s="157"/>
      <c r="Y129" s="157"/>
      <c r="Z129" s="157"/>
      <c r="AA129" s="164"/>
      <c r="AB129" s="157"/>
      <c r="AC129" s="157"/>
      <c r="AD129" s="157"/>
      <c r="AE129" s="157"/>
      <c r="AF129" s="157"/>
      <c r="AG129" s="157"/>
      <c r="AH129" s="157"/>
      <c r="AO129" s="157"/>
      <c r="AP129" s="127"/>
      <c r="AQ129" s="157"/>
      <c r="AR129" s="157"/>
      <c r="AS129" s="127"/>
      <c r="AT129" s="157"/>
      <c r="AU129" s="127"/>
      <c r="AV129" s="390"/>
      <c r="AW129" s="157"/>
      <c r="AX129" s="127"/>
      <c r="AY129" s="390"/>
      <c r="AZ129" s="157"/>
      <c r="BA129" s="127"/>
      <c r="BB129" s="390"/>
      <c r="BC129" s="127"/>
      <c r="BD129" s="127"/>
      <c r="BE129" s="390"/>
      <c r="BF129" s="157"/>
      <c r="BG129" s="157"/>
      <c r="BH129" s="157"/>
      <c r="BI129" s="157"/>
      <c r="BJ129" s="157"/>
      <c r="BK129" s="160"/>
    </row>
    <row r="130" spans="1:63" x14ac:dyDescent="0.2">
      <c r="A130" s="362"/>
      <c r="B130" s="23"/>
      <c r="C130" s="160"/>
      <c r="D130" s="23"/>
      <c r="E130" s="160"/>
      <c r="F130" s="23"/>
      <c r="G130" s="160"/>
      <c r="H130" s="23"/>
      <c r="I130" s="156"/>
      <c r="J130" s="127"/>
      <c r="K130" s="156"/>
      <c r="L130" s="127"/>
      <c r="M130" s="156"/>
      <c r="N130" s="127"/>
      <c r="O130" s="156"/>
      <c r="Q130" s="157"/>
      <c r="R130" s="157"/>
      <c r="S130" s="164"/>
      <c r="T130" s="157"/>
      <c r="U130" s="157"/>
      <c r="V130" s="157"/>
      <c r="W130" s="157"/>
      <c r="X130" s="157"/>
      <c r="Y130" s="157"/>
      <c r="Z130" s="157"/>
      <c r="AA130" s="164"/>
      <c r="AB130" s="157"/>
      <c r="AC130" s="157"/>
      <c r="AD130" s="157"/>
      <c r="AE130" s="157"/>
      <c r="AF130" s="157"/>
      <c r="AG130" s="157"/>
      <c r="AH130" s="157"/>
      <c r="AO130" s="157"/>
      <c r="AP130" s="127"/>
      <c r="AQ130" s="157"/>
      <c r="AR130" s="157"/>
      <c r="AS130" s="127"/>
      <c r="AT130" s="157"/>
      <c r="AU130" s="127"/>
      <c r="AV130" s="390"/>
      <c r="AW130" s="157"/>
      <c r="AX130" s="127"/>
      <c r="AY130" s="390"/>
      <c r="AZ130" s="157"/>
      <c r="BA130" s="127"/>
      <c r="BB130" s="390"/>
      <c r="BC130" s="127"/>
      <c r="BD130" s="127"/>
      <c r="BE130" s="390"/>
      <c r="BF130" s="157"/>
      <c r="BG130" s="157"/>
      <c r="BH130" s="157"/>
      <c r="BI130" s="157"/>
      <c r="BJ130" s="157"/>
      <c r="BK130" s="160"/>
    </row>
    <row r="131" spans="1:63" x14ac:dyDescent="0.2">
      <c r="A131" s="362"/>
      <c r="B131" s="23"/>
      <c r="C131" s="160"/>
      <c r="D131" s="23"/>
      <c r="E131" s="160"/>
      <c r="F131" s="23"/>
      <c r="G131" s="160"/>
      <c r="H131" s="23"/>
      <c r="I131" s="156"/>
      <c r="J131" s="127"/>
      <c r="K131" s="156"/>
      <c r="L131" s="127"/>
      <c r="M131" s="156"/>
      <c r="N131" s="127"/>
      <c r="O131" s="156"/>
      <c r="Q131" s="157"/>
      <c r="R131" s="157"/>
      <c r="S131" s="164"/>
      <c r="T131" s="157"/>
      <c r="U131" s="157"/>
      <c r="V131" s="157"/>
      <c r="W131" s="157"/>
      <c r="X131" s="157"/>
      <c r="Y131" s="157"/>
      <c r="Z131" s="157"/>
      <c r="AA131" s="164"/>
      <c r="AB131" s="157"/>
      <c r="AC131" s="157"/>
      <c r="AD131" s="157"/>
      <c r="AE131" s="157"/>
      <c r="AF131" s="157"/>
      <c r="AG131" s="157"/>
      <c r="AH131" s="157"/>
      <c r="AO131" s="157"/>
      <c r="AP131" s="127"/>
      <c r="AQ131" s="157"/>
      <c r="AR131" s="157"/>
      <c r="AS131" s="127"/>
      <c r="AT131" s="157"/>
      <c r="AU131" s="127"/>
      <c r="AV131" s="390"/>
      <c r="AW131" s="157"/>
      <c r="AX131" s="127"/>
      <c r="AY131" s="390"/>
      <c r="AZ131" s="157"/>
      <c r="BA131" s="127"/>
      <c r="BB131" s="390"/>
      <c r="BC131" s="127"/>
      <c r="BD131" s="127"/>
      <c r="BE131" s="390"/>
      <c r="BF131" s="157"/>
      <c r="BG131" s="157"/>
      <c r="BH131" s="157"/>
      <c r="BI131" s="157"/>
      <c r="BJ131" s="157"/>
      <c r="BK131" s="160"/>
    </row>
    <row r="132" spans="1:63" x14ac:dyDescent="0.2">
      <c r="A132" s="362"/>
      <c r="B132" s="23"/>
      <c r="C132" s="160"/>
      <c r="D132" s="23"/>
      <c r="E132" s="160"/>
      <c r="F132" s="23"/>
      <c r="G132" s="160"/>
      <c r="H132" s="23"/>
      <c r="I132" s="156"/>
      <c r="J132" s="127"/>
      <c r="K132" s="156"/>
      <c r="L132" s="127"/>
      <c r="M132" s="156"/>
      <c r="N132" s="127"/>
      <c r="O132" s="156"/>
      <c r="Q132" s="157"/>
      <c r="R132" s="157"/>
      <c r="S132" s="164"/>
      <c r="T132" s="157"/>
      <c r="U132" s="157"/>
      <c r="V132" s="157"/>
      <c r="W132" s="157"/>
      <c r="X132" s="157"/>
      <c r="Y132" s="157"/>
      <c r="Z132" s="157"/>
      <c r="AA132" s="164"/>
      <c r="AB132" s="157"/>
      <c r="AC132" s="157"/>
      <c r="AD132" s="157"/>
      <c r="AE132" s="157"/>
      <c r="AF132" s="157"/>
      <c r="AG132" s="157"/>
      <c r="AH132" s="157"/>
      <c r="AO132" s="157"/>
      <c r="AP132" s="127"/>
      <c r="AQ132" s="157"/>
      <c r="AR132" s="157"/>
      <c r="AS132" s="127"/>
      <c r="AT132" s="157"/>
      <c r="AU132" s="127"/>
      <c r="AV132" s="390"/>
      <c r="AW132" s="157"/>
      <c r="AX132" s="127"/>
      <c r="AY132" s="390"/>
      <c r="AZ132" s="157"/>
      <c r="BA132" s="127"/>
      <c r="BB132" s="390"/>
      <c r="BC132" s="127"/>
      <c r="BD132" s="127"/>
      <c r="BE132" s="390"/>
      <c r="BF132" s="157"/>
      <c r="BG132" s="157"/>
      <c r="BH132" s="157"/>
      <c r="BI132" s="157"/>
      <c r="BJ132" s="157"/>
      <c r="BK132" s="160"/>
    </row>
    <row r="133" spans="1:63" x14ac:dyDescent="0.2">
      <c r="A133" s="362"/>
      <c r="B133" s="23"/>
      <c r="C133" s="160"/>
      <c r="D133" s="23"/>
      <c r="E133" s="160"/>
      <c r="F133" s="23"/>
      <c r="G133" s="160"/>
      <c r="H133" s="23"/>
      <c r="I133" s="156"/>
      <c r="J133" s="127"/>
      <c r="K133" s="156"/>
      <c r="L133" s="127"/>
      <c r="M133" s="156"/>
      <c r="N133" s="127"/>
      <c r="O133" s="156"/>
      <c r="Q133" s="157"/>
      <c r="R133" s="157"/>
      <c r="S133" s="164"/>
      <c r="T133" s="157"/>
      <c r="U133" s="157"/>
      <c r="V133" s="157"/>
      <c r="W133" s="157"/>
      <c r="X133" s="157"/>
      <c r="Y133" s="157"/>
      <c r="Z133" s="157"/>
      <c r="AA133" s="164"/>
      <c r="AB133" s="157"/>
      <c r="AC133" s="157"/>
      <c r="AD133" s="157"/>
      <c r="AE133" s="157"/>
      <c r="AF133" s="157"/>
      <c r="AG133" s="157"/>
      <c r="AH133" s="157"/>
      <c r="AO133" s="157"/>
      <c r="AP133" s="127"/>
      <c r="AQ133" s="157"/>
      <c r="AR133" s="157"/>
      <c r="AS133" s="127"/>
      <c r="AT133" s="157"/>
      <c r="AU133" s="127"/>
      <c r="AV133" s="390"/>
      <c r="AW133" s="157"/>
      <c r="AX133" s="127"/>
      <c r="AY133" s="390"/>
      <c r="AZ133" s="157"/>
      <c r="BA133" s="127"/>
      <c r="BB133" s="390"/>
      <c r="BC133" s="127"/>
      <c r="BD133" s="127"/>
      <c r="BE133" s="390"/>
      <c r="BF133" s="157"/>
      <c r="BG133" s="157"/>
      <c r="BH133" s="157"/>
      <c r="BI133" s="157"/>
      <c r="BJ133" s="157"/>
      <c r="BK133" s="160"/>
    </row>
    <row r="134" spans="1:63" x14ac:dyDescent="0.2">
      <c r="A134" s="362"/>
      <c r="B134" s="23"/>
      <c r="C134" s="160"/>
      <c r="D134" s="23"/>
      <c r="E134" s="160"/>
      <c r="F134" s="23"/>
      <c r="G134" s="160"/>
      <c r="H134" s="23"/>
      <c r="I134" s="156"/>
      <c r="J134" s="127"/>
      <c r="K134" s="156"/>
      <c r="L134" s="127"/>
      <c r="M134" s="156"/>
      <c r="N134" s="127"/>
      <c r="O134" s="156"/>
      <c r="Q134" s="157"/>
      <c r="R134" s="157"/>
      <c r="S134" s="164"/>
      <c r="T134" s="157"/>
      <c r="U134" s="157"/>
      <c r="V134" s="157"/>
      <c r="W134" s="157"/>
      <c r="X134" s="157"/>
      <c r="Y134" s="157"/>
      <c r="Z134" s="157"/>
      <c r="AA134" s="164"/>
      <c r="AB134" s="157"/>
      <c r="AC134" s="157"/>
      <c r="AD134" s="157"/>
      <c r="AE134" s="157"/>
      <c r="AF134" s="157"/>
      <c r="AG134" s="157"/>
      <c r="AH134" s="157"/>
      <c r="AO134" s="157"/>
      <c r="AP134" s="127"/>
      <c r="AQ134" s="157"/>
      <c r="AR134" s="157"/>
      <c r="AS134" s="127"/>
      <c r="AT134" s="157"/>
      <c r="AU134" s="127"/>
      <c r="AV134" s="390"/>
      <c r="AW134" s="157"/>
      <c r="AX134" s="127"/>
      <c r="AY134" s="390"/>
      <c r="AZ134" s="157"/>
      <c r="BA134" s="127"/>
      <c r="BB134" s="390"/>
      <c r="BC134" s="127"/>
      <c r="BD134" s="127"/>
      <c r="BE134" s="390"/>
      <c r="BF134" s="157"/>
      <c r="BG134" s="157"/>
      <c r="BH134" s="157"/>
      <c r="BI134" s="157"/>
      <c r="BJ134" s="157"/>
      <c r="BK134" s="160"/>
    </row>
    <row r="135" spans="1:63" x14ac:dyDescent="0.2">
      <c r="A135" s="362"/>
      <c r="B135" s="23"/>
      <c r="C135" s="160"/>
      <c r="D135" s="23"/>
      <c r="E135" s="160"/>
      <c r="F135" s="23"/>
      <c r="G135" s="160"/>
      <c r="H135" s="23"/>
      <c r="I135" s="156"/>
      <c r="J135" s="127"/>
      <c r="K135" s="156"/>
      <c r="L135" s="127"/>
      <c r="M135" s="156"/>
      <c r="N135" s="127"/>
      <c r="O135" s="156"/>
      <c r="Q135" s="157"/>
      <c r="R135" s="157"/>
      <c r="S135" s="164"/>
      <c r="T135" s="157"/>
      <c r="U135" s="157"/>
      <c r="V135" s="157"/>
      <c r="W135" s="157"/>
      <c r="X135" s="157"/>
      <c r="Y135" s="157"/>
      <c r="Z135" s="157"/>
      <c r="AA135" s="164"/>
      <c r="AB135" s="157"/>
      <c r="AC135" s="157"/>
      <c r="AD135" s="157"/>
      <c r="AE135" s="157"/>
      <c r="AF135" s="157"/>
      <c r="AG135" s="157"/>
      <c r="AH135" s="157"/>
      <c r="AO135" s="157"/>
      <c r="AP135" s="127"/>
      <c r="AQ135" s="157"/>
      <c r="AR135" s="157"/>
      <c r="AS135" s="127"/>
      <c r="AT135" s="157"/>
      <c r="AU135" s="127"/>
      <c r="AV135" s="390"/>
      <c r="AW135" s="157"/>
      <c r="AX135" s="127"/>
      <c r="AY135" s="390"/>
      <c r="AZ135" s="157"/>
      <c r="BA135" s="127"/>
      <c r="BB135" s="390"/>
      <c r="BC135" s="127"/>
      <c r="BD135" s="127"/>
      <c r="BE135" s="390"/>
      <c r="BF135" s="157"/>
      <c r="BG135" s="157"/>
      <c r="BH135" s="157"/>
      <c r="BI135" s="157"/>
      <c r="BJ135" s="157"/>
      <c r="BK135" s="160"/>
    </row>
    <row r="136" spans="1:63" x14ac:dyDescent="0.2">
      <c r="A136" s="362"/>
      <c r="B136" s="23"/>
      <c r="C136" s="160"/>
      <c r="D136" s="23"/>
      <c r="E136" s="160"/>
      <c r="F136" s="23"/>
      <c r="G136" s="160"/>
      <c r="H136" s="23"/>
      <c r="I136" s="156"/>
      <c r="J136" s="127"/>
      <c r="K136" s="156"/>
      <c r="L136" s="127"/>
      <c r="M136" s="156"/>
      <c r="N136" s="127"/>
      <c r="O136" s="156"/>
      <c r="Q136" s="157"/>
      <c r="R136" s="157"/>
      <c r="S136" s="164"/>
      <c r="T136" s="157"/>
      <c r="U136" s="157"/>
      <c r="V136" s="157"/>
      <c r="W136" s="157"/>
      <c r="X136" s="157"/>
      <c r="Y136" s="157"/>
      <c r="Z136" s="157"/>
      <c r="AA136" s="164"/>
      <c r="AB136" s="157"/>
      <c r="AC136" s="157"/>
      <c r="AD136" s="157"/>
      <c r="AE136" s="157"/>
      <c r="AF136" s="157"/>
      <c r="AG136" s="157"/>
      <c r="AH136" s="157"/>
      <c r="AO136" s="157"/>
      <c r="AP136" s="127"/>
      <c r="AQ136" s="157"/>
      <c r="AR136" s="157"/>
      <c r="AS136" s="127"/>
      <c r="AT136" s="157"/>
      <c r="AU136" s="127"/>
      <c r="AV136" s="390"/>
      <c r="AW136" s="157"/>
      <c r="AX136" s="127"/>
      <c r="AY136" s="390"/>
      <c r="AZ136" s="157"/>
      <c r="BA136" s="127"/>
      <c r="BB136" s="390"/>
      <c r="BC136" s="127"/>
      <c r="BD136" s="127"/>
      <c r="BE136" s="390"/>
      <c r="BF136" s="157"/>
      <c r="BG136" s="157"/>
      <c r="BH136" s="157"/>
      <c r="BI136" s="157"/>
      <c r="BJ136" s="157"/>
      <c r="BK136" s="160"/>
    </row>
    <row r="137" spans="1:63" x14ac:dyDescent="0.2">
      <c r="A137" s="362"/>
      <c r="B137" s="23"/>
      <c r="C137" s="160"/>
      <c r="D137" s="23"/>
      <c r="E137" s="160"/>
      <c r="F137" s="23"/>
      <c r="G137" s="160"/>
      <c r="H137" s="23"/>
      <c r="I137" s="156"/>
      <c r="J137" s="127"/>
      <c r="K137" s="156"/>
      <c r="L137" s="127"/>
      <c r="M137" s="156"/>
      <c r="N137" s="127"/>
      <c r="O137" s="156"/>
      <c r="Q137" s="157"/>
      <c r="R137" s="157"/>
      <c r="S137" s="164"/>
      <c r="T137" s="157"/>
      <c r="U137" s="157"/>
      <c r="V137" s="157"/>
      <c r="W137" s="157"/>
      <c r="X137" s="157"/>
      <c r="Y137" s="157"/>
      <c r="Z137" s="157"/>
      <c r="AA137" s="164"/>
      <c r="AB137" s="157"/>
      <c r="AC137" s="157"/>
      <c r="AD137" s="157"/>
      <c r="AE137" s="157"/>
      <c r="AF137" s="157"/>
      <c r="AG137" s="157"/>
      <c r="AH137" s="157"/>
      <c r="AO137" s="157"/>
      <c r="AP137" s="127"/>
      <c r="AQ137" s="157"/>
      <c r="AR137" s="157"/>
      <c r="AS137" s="127"/>
      <c r="AT137" s="157"/>
      <c r="AU137" s="127"/>
      <c r="AV137" s="390"/>
      <c r="AW137" s="157"/>
      <c r="AX137" s="127"/>
      <c r="AY137" s="390"/>
      <c r="AZ137" s="157"/>
      <c r="BA137" s="127"/>
      <c r="BB137" s="390"/>
      <c r="BC137" s="127"/>
      <c r="BD137" s="127"/>
      <c r="BE137" s="390"/>
      <c r="BF137" s="157"/>
      <c r="BG137" s="157"/>
      <c r="BH137" s="157"/>
      <c r="BI137" s="157"/>
      <c r="BJ137" s="157"/>
      <c r="BK137" s="160"/>
    </row>
    <row r="138" spans="1:63" x14ac:dyDescent="0.2">
      <c r="A138" s="362"/>
      <c r="B138" s="23"/>
      <c r="C138" s="160"/>
      <c r="D138" s="23"/>
      <c r="E138" s="160"/>
      <c r="F138" s="23"/>
      <c r="G138" s="160"/>
      <c r="H138" s="23"/>
      <c r="I138" s="156"/>
      <c r="J138" s="127"/>
      <c r="K138" s="156"/>
      <c r="L138" s="127"/>
      <c r="M138" s="156"/>
      <c r="N138" s="127"/>
      <c r="O138" s="156"/>
      <c r="Q138" s="157"/>
      <c r="R138" s="157"/>
      <c r="S138" s="164"/>
      <c r="T138" s="157"/>
      <c r="U138" s="157"/>
      <c r="V138" s="157"/>
      <c r="W138" s="157"/>
      <c r="X138" s="157"/>
      <c r="Y138" s="157"/>
      <c r="Z138" s="157"/>
      <c r="AA138" s="164"/>
      <c r="AB138" s="157"/>
      <c r="AC138" s="157"/>
      <c r="AD138" s="157"/>
      <c r="AE138" s="157"/>
      <c r="AF138" s="157"/>
      <c r="AG138" s="157"/>
      <c r="AH138" s="157"/>
      <c r="AO138" s="157"/>
      <c r="AP138" s="127"/>
      <c r="AQ138" s="157"/>
      <c r="AR138" s="157"/>
      <c r="AS138" s="127"/>
      <c r="AT138" s="157"/>
      <c r="AU138" s="127"/>
      <c r="AV138" s="390"/>
      <c r="AW138" s="157"/>
      <c r="AX138" s="127"/>
      <c r="AY138" s="390"/>
      <c r="AZ138" s="157"/>
      <c r="BA138" s="127"/>
      <c r="BB138" s="390"/>
      <c r="BC138" s="127"/>
      <c r="BD138" s="127"/>
      <c r="BE138" s="390"/>
      <c r="BF138" s="157"/>
      <c r="BG138" s="157"/>
      <c r="BH138" s="157"/>
      <c r="BI138" s="157"/>
      <c r="BJ138" s="157"/>
      <c r="BK138" s="160"/>
    </row>
    <row r="139" spans="1:63" x14ac:dyDescent="0.2">
      <c r="A139" s="362"/>
      <c r="B139" s="23"/>
      <c r="C139" s="160"/>
      <c r="D139" s="23"/>
      <c r="E139" s="160"/>
      <c r="F139" s="23"/>
      <c r="G139" s="160"/>
      <c r="H139" s="23"/>
      <c r="I139" s="156"/>
      <c r="J139" s="127"/>
      <c r="K139" s="156"/>
      <c r="L139" s="127"/>
      <c r="M139" s="156"/>
      <c r="N139" s="127"/>
      <c r="O139" s="156"/>
      <c r="Q139" s="157"/>
      <c r="R139" s="157"/>
      <c r="S139" s="164"/>
      <c r="T139" s="157"/>
      <c r="U139" s="157"/>
      <c r="V139" s="157"/>
      <c r="W139" s="157"/>
      <c r="X139" s="157"/>
      <c r="Y139" s="157"/>
      <c r="Z139" s="157"/>
      <c r="AA139" s="164"/>
      <c r="AB139" s="157"/>
      <c r="AC139" s="157"/>
      <c r="AD139" s="157"/>
      <c r="AE139" s="157"/>
      <c r="AF139" s="157"/>
      <c r="AG139" s="157"/>
      <c r="AH139" s="157"/>
      <c r="AO139" s="157"/>
      <c r="AP139" s="127"/>
      <c r="AQ139" s="157"/>
      <c r="AR139" s="157"/>
      <c r="AS139" s="127"/>
      <c r="AT139" s="157"/>
      <c r="AU139" s="127"/>
      <c r="AV139" s="390"/>
      <c r="AW139" s="157"/>
      <c r="AX139" s="127"/>
      <c r="AY139" s="390"/>
      <c r="AZ139" s="157"/>
      <c r="BA139" s="127"/>
      <c r="BB139" s="390"/>
      <c r="BC139" s="127"/>
      <c r="BD139" s="127"/>
      <c r="BE139" s="390"/>
      <c r="BF139" s="157"/>
      <c r="BG139" s="157"/>
      <c r="BH139" s="157"/>
      <c r="BI139" s="157"/>
      <c r="BJ139" s="157"/>
      <c r="BK139" s="160"/>
    </row>
    <row r="140" spans="1:63" x14ac:dyDescent="0.2">
      <c r="A140" s="362"/>
      <c r="B140" s="23"/>
      <c r="C140" s="160"/>
      <c r="D140" s="23"/>
      <c r="E140" s="160"/>
      <c r="F140" s="23"/>
      <c r="G140" s="160"/>
      <c r="H140" s="23"/>
      <c r="I140" s="156"/>
      <c r="J140" s="127"/>
      <c r="K140" s="156"/>
      <c r="L140" s="127"/>
      <c r="M140" s="156"/>
      <c r="N140" s="127"/>
      <c r="O140" s="156"/>
      <c r="Q140" s="157"/>
      <c r="R140" s="157"/>
      <c r="S140" s="164"/>
      <c r="T140" s="157"/>
      <c r="U140" s="157"/>
      <c r="V140" s="157"/>
      <c r="W140" s="157"/>
      <c r="X140" s="157"/>
      <c r="Y140" s="157"/>
      <c r="Z140" s="157"/>
      <c r="AA140" s="164"/>
      <c r="AB140" s="157"/>
      <c r="AC140" s="157"/>
      <c r="AD140" s="157"/>
      <c r="AE140" s="157"/>
      <c r="AF140" s="157"/>
      <c r="AG140" s="157"/>
      <c r="AH140" s="157"/>
      <c r="AO140" s="157"/>
      <c r="AP140" s="127"/>
      <c r="AQ140" s="157"/>
      <c r="AR140" s="157"/>
      <c r="AS140" s="127"/>
      <c r="AT140" s="157"/>
      <c r="AU140" s="127"/>
      <c r="AV140" s="390"/>
      <c r="AW140" s="157"/>
      <c r="AX140" s="127"/>
      <c r="AY140" s="390"/>
      <c r="AZ140" s="157"/>
      <c r="BA140" s="127"/>
      <c r="BB140" s="390"/>
      <c r="BC140" s="127"/>
      <c r="BD140" s="127"/>
      <c r="BE140" s="390"/>
      <c r="BF140" s="157"/>
      <c r="BG140" s="157"/>
      <c r="BH140" s="157"/>
      <c r="BI140" s="157"/>
      <c r="BJ140" s="157"/>
      <c r="BK140" s="160"/>
    </row>
    <row r="141" spans="1:63" x14ac:dyDescent="0.2">
      <c r="A141" s="362"/>
      <c r="B141" s="23"/>
      <c r="C141" s="160"/>
      <c r="D141" s="23"/>
      <c r="E141" s="160"/>
      <c r="F141" s="23"/>
      <c r="G141" s="160"/>
      <c r="H141" s="23"/>
      <c r="I141" s="156"/>
      <c r="J141" s="127"/>
      <c r="K141" s="156"/>
      <c r="L141" s="127"/>
      <c r="M141" s="156"/>
      <c r="N141" s="127"/>
      <c r="O141" s="156"/>
      <c r="Q141" s="157"/>
      <c r="R141" s="157"/>
      <c r="S141" s="164"/>
      <c r="T141" s="157"/>
      <c r="U141" s="157"/>
      <c r="V141" s="157"/>
      <c r="W141" s="157"/>
      <c r="X141" s="157"/>
      <c r="Y141" s="157"/>
      <c r="Z141" s="157"/>
      <c r="AA141" s="164"/>
      <c r="AB141" s="157"/>
      <c r="AC141" s="157"/>
      <c r="AD141" s="157"/>
      <c r="AE141" s="157"/>
      <c r="AF141" s="157"/>
      <c r="AG141" s="157"/>
      <c r="AH141" s="157"/>
      <c r="AO141" s="157"/>
      <c r="AP141" s="127"/>
      <c r="AQ141" s="157"/>
      <c r="AR141" s="157"/>
      <c r="AS141" s="127"/>
      <c r="AT141" s="157"/>
      <c r="AU141" s="127"/>
      <c r="AV141" s="390"/>
      <c r="AW141" s="157"/>
      <c r="AX141" s="127"/>
      <c r="AY141" s="390"/>
      <c r="AZ141" s="157"/>
      <c r="BA141" s="127"/>
      <c r="BB141" s="390"/>
      <c r="BC141" s="127"/>
      <c r="BD141" s="127"/>
      <c r="BE141" s="390"/>
      <c r="BF141" s="157"/>
      <c r="BG141" s="157"/>
      <c r="BH141" s="157"/>
      <c r="BI141" s="157"/>
      <c r="BJ141" s="157"/>
      <c r="BK141" s="160"/>
    </row>
    <row r="142" spans="1:63" x14ac:dyDescent="0.2">
      <c r="A142" s="362"/>
      <c r="B142" s="23"/>
      <c r="C142" s="160"/>
      <c r="D142" s="23"/>
      <c r="E142" s="160"/>
      <c r="F142" s="23"/>
      <c r="G142" s="160"/>
      <c r="H142" s="23"/>
      <c r="I142" s="156"/>
      <c r="J142" s="127"/>
      <c r="K142" s="156"/>
      <c r="L142" s="127"/>
      <c r="M142" s="156"/>
      <c r="N142" s="127"/>
      <c r="O142" s="156"/>
      <c r="Q142" s="157"/>
      <c r="R142" s="157"/>
      <c r="S142" s="164"/>
      <c r="T142" s="157"/>
      <c r="U142" s="157"/>
      <c r="V142" s="157"/>
      <c r="W142" s="157"/>
      <c r="X142" s="157"/>
      <c r="Y142" s="157"/>
      <c r="Z142" s="157"/>
      <c r="AA142" s="164"/>
      <c r="AB142" s="157"/>
      <c r="AC142" s="157"/>
      <c r="AD142" s="157"/>
      <c r="AE142" s="157"/>
      <c r="AF142" s="157"/>
      <c r="AG142" s="157"/>
      <c r="AH142" s="157"/>
      <c r="AO142" s="157"/>
      <c r="AP142" s="127"/>
      <c r="AQ142" s="157"/>
      <c r="AR142" s="157"/>
      <c r="AS142" s="127"/>
      <c r="AT142" s="157"/>
      <c r="AU142" s="127"/>
      <c r="AV142" s="390"/>
      <c r="AW142" s="157"/>
      <c r="AX142" s="127"/>
      <c r="AY142" s="390"/>
      <c r="AZ142" s="157"/>
      <c r="BA142" s="127"/>
      <c r="BB142" s="390"/>
      <c r="BC142" s="127"/>
      <c r="BD142" s="127"/>
      <c r="BE142" s="390"/>
      <c r="BF142" s="157"/>
      <c r="BG142" s="157"/>
      <c r="BH142" s="157"/>
      <c r="BI142" s="157"/>
      <c r="BJ142" s="157"/>
      <c r="BK142" s="160"/>
    </row>
    <row r="143" spans="1:63" x14ac:dyDescent="0.2">
      <c r="A143" s="362"/>
      <c r="B143" s="23"/>
      <c r="C143" s="160"/>
      <c r="D143" s="23"/>
      <c r="E143" s="160"/>
      <c r="F143" s="23"/>
      <c r="G143" s="160"/>
      <c r="H143" s="23"/>
      <c r="I143" s="156"/>
      <c r="J143" s="127"/>
      <c r="K143" s="156"/>
      <c r="L143" s="127"/>
      <c r="M143" s="156"/>
      <c r="N143" s="127"/>
      <c r="O143" s="156"/>
      <c r="Q143" s="157"/>
      <c r="R143" s="157"/>
      <c r="S143" s="164"/>
      <c r="T143" s="157"/>
      <c r="U143" s="157"/>
      <c r="V143" s="157"/>
      <c r="W143" s="157"/>
      <c r="X143" s="157"/>
      <c r="Y143" s="157"/>
      <c r="Z143" s="157"/>
      <c r="AA143" s="164"/>
      <c r="AB143" s="157"/>
      <c r="AC143" s="157"/>
      <c r="AD143" s="157"/>
      <c r="AE143" s="157"/>
      <c r="AF143" s="157"/>
      <c r="AG143" s="157"/>
      <c r="AH143" s="157"/>
      <c r="AO143" s="157"/>
      <c r="AP143" s="127"/>
      <c r="AQ143" s="157"/>
      <c r="AR143" s="157"/>
      <c r="AS143" s="127"/>
      <c r="AT143" s="157"/>
      <c r="AU143" s="127"/>
      <c r="AV143" s="390"/>
      <c r="AW143" s="157"/>
      <c r="AX143" s="127"/>
      <c r="AY143" s="390"/>
      <c r="AZ143" s="157"/>
      <c r="BA143" s="127"/>
      <c r="BB143" s="390"/>
      <c r="BC143" s="127"/>
      <c r="BD143" s="127"/>
      <c r="BE143" s="390"/>
      <c r="BF143" s="157"/>
      <c r="BG143" s="157"/>
      <c r="BH143" s="157"/>
      <c r="BI143" s="157"/>
      <c r="BJ143" s="157"/>
      <c r="BK143" s="160"/>
    </row>
    <row r="144" spans="1:63" x14ac:dyDescent="0.2">
      <c r="A144" s="362"/>
      <c r="B144" s="23"/>
      <c r="C144" s="160"/>
      <c r="D144" s="23"/>
      <c r="E144" s="160"/>
      <c r="F144" s="23"/>
      <c r="G144" s="160"/>
      <c r="H144" s="23"/>
      <c r="I144" s="156"/>
      <c r="J144" s="127"/>
      <c r="K144" s="156"/>
      <c r="L144" s="127"/>
      <c r="M144" s="156"/>
      <c r="N144" s="127"/>
      <c r="O144" s="156"/>
      <c r="Q144" s="157"/>
      <c r="R144" s="157"/>
      <c r="S144" s="164"/>
      <c r="T144" s="157"/>
      <c r="U144" s="157"/>
      <c r="V144" s="157"/>
      <c r="W144" s="157"/>
      <c r="X144" s="157"/>
      <c r="Y144" s="157"/>
      <c r="Z144" s="157"/>
      <c r="AA144" s="164"/>
      <c r="AB144" s="157"/>
      <c r="AC144" s="157"/>
      <c r="AD144" s="157"/>
      <c r="AE144" s="157"/>
      <c r="AF144" s="157"/>
      <c r="AG144" s="157"/>
      <c r="AH144" s="157"/>
      <c r="AO144" s="157"/>
      <c r="AP144" s="127"/>
      <c r="AQ144" s="157"/>
      <c r="AR144" s="157"/>
      <c r="AS144" s="127"/>
      <c r="AT144" s="157"/>
      <c r="AU144" s="127"/>
      <c r="AV144" s="390"/>
      <c r="AW144" s="157"/>
      <c r="AX144" s="127"/>
      <c r="AY144" s="390"/>
      <c r="AZ144" s="157"/>
      <c r="BA144" s="127"/>
      <c r="BB144" s="390"/>
      <c r="BC144" s="127"/>
      <c r="BD144" s="127"/>
      <c r="BE144" s="390"/>
      <c r="BF144" s="157"/>
      <c r="BG144" s="157"/>
      <c r="BH144" s="157"/>
      <c r="BI144" s="157"/>
      <c r="BJ144" s="157"/>
      <c r="BK144" s="160"/>
    </row>
    <row r="145" spans="1:63" x14ac:dyDescent="0.2">
      <c r="A145" s="362"/>
      <c r="B145" s="23"/>
      <c r="C145" s="160"/>
      <c r="D145" s="23"/>
      <c r="E145" s="160"/>
      <c r="F145" s="23"/>
      <c r="G145" s="160"/>
      <c r="H145" s="23"/>
      <c r="I145" s="156"/>
      <c r="J145" s="127"/>
      <c r="K145" s="156"/>
      <c r="L145" s="127"/>
      <c r="M145" s="156"/>
      <c r="N145" s="127"/>
      <c r="O145" s="156"/>
      <c r="Q145" s="157"/>
      <c r="R145" s="157"/>
      <c r="S145" s="164"/>
      <c r="T145" s="157"/>
      <c r="U145" s="157"/>
      <c r="V145" s="157"/>
      <c r="W145" s="157"/>
      <c r="X145" s="157"/>
      <c r="Y145" s="157"/>
      <c r="Z145" s="157"/>
      <c r="AA145" s="164"/>
      <c r="AB145" s="157"/>
      <c r="AC145" s="157"/>
      <c r="AD145" s="157"/>
      <c r="AE145" s="157"/>
      <c r="AF145" s="157"/>
      <c r="AG145" s="157"/>
      <c r="AH145" s="157"/>
      <c r="AO145" s="157"/>
      <c r="AP145" s="127"/>
      <c r="AQ145" s="157"/>
      <c r="AR145" s="157"/>
      <c r="AS145" s="127"/>
      <c r="AT145" s="157"/>
      <c r="AU145" s="127"/>
      <c r="AV145" s="390"/>
      <c r="AW145" s="157"/>
      <c r="AX145" s="127"/>
      <c r="AY145" s="390"/>
      <c r="AZ145" s="157"/>
      <c r="BA145" s="127"/>
      <c r="BB145" s="390"/>
      <c r="BC145" s="127"/>
      <c r="BD145" s="127"/>
      <c r="BE145" s="390"/>
      <c r="BF145" s="157"/>
      <c r="BG145" s="157"/>
      <c r="BH145" s="157"/>
      <c r="BI145" s="157"/>
      <c r="BJ145" s="157"/>
      <c r="BK145" s="160"/>
    </row>
    <row r="146" spans="1:63" x14ac:dyDescent="0.2">
      <c r="A146" s="362"/>
      <c r="B146" s="23"/>
      <c r="C146" s="160"/>
      <c r="D146" s="23"/>
      <c r="E146" s="160"/>
      <c r="F146" s="23"/>
      <c r="G146" s="160"/>
      <c r="H146" s="23"/>
      <c r="I146" s="156"/>
      <c r="J146" s="127"/>
      <c r="K146" s="156"/>
      <c r="L146" s="127"/>
      <c r="M146" s="156"/>
      <c r="N146" s="127"/>
      <c r="O146" s="156"/>
      <c r="Q146" s="157"/>
      <c r="R146" s="157"/>
      <c r="S146" s="164"/>
      <c r="T146" s="157"/>
      <c r="U146" s="157"/>
      <c r="V146" s="157"/>
      <c r="W146" s="157"/>
      <c r="X146" s="157"/>
      <c r="Y146" s="157"/>
      <c r="Z146" s="157"/>
      <c r="AA146" s="164"/>
      <c r="AB146" s="157"/>
      <c r="AC146" s="157"/>
      <c r="AD146" s="157"/>
      <c r="AE146" s="157"/>
      <c r="AF146" s="157"/>
      <c r="AG146" s="157"/>
      <c r="AH146" s="157"/>
      <c r="AO146" s="157"/>
      <c r="AP146" s="127"/>
      <c r="AQ146" s="157"/>
      <c r="AR146" s="157"/>
      <c r="AS146" s="127"/>
      <c r="AT146" s="157"/>
      <c r="AU146" s="127"/>
      <c r="AV146" s="390"/>
      <c r="AW146" s="157"/>
      <c r="AX146" s="127"/>
      <c r="AY146" s="390"/>
      <c r="AZ146" s="157"/>
      <c r="BA146" s="127"/>
      <c r="BB146" s="390"/>
      <c r="BC146" s="127"/>
      <c r="BD146" s="127"/>
      <c r="BE146" s="390"/>
      <c r="BF146" s="157"/>
      <c r="BG146" s="157"/>
      <c r="BH146" s="157"/>
      <c r="BI146" s="157"/>
      <c r="BJ146" s="157"/>
      <c r="BK146" s="160"/>
    </row>
    <row r="147" spans="1:63" x14ac:dyDescent="0.2">
      <c r="A147" s="362"/>
      <c r="B147" s="23"/>
      <c r="C147" s="160"/>
      <c r="D147" s="23"/>
      <c r="E147" s="160"/>
      <c r="F147" s="23"/>
      <c r="G147" s="160"/>
      <c r="H147" s="23"/>
      <c r="I147" s="156"/>
      <c r="J147" s="127"/>
      <c r="K147" s="156"/>
      <c r="L147" s="127"/>
      <c r="M147" s="156"/>
      <c r="N147" s="127"/>
      <c r="O147" s="156"/>
      <c r="Q147" s="157"/>
      <c r="R147" s="157"/>
      <c r="S147" s="164"/>
      <c r="T147" s="157"/>
      <c r="U147" s="157"/>
      <c r="V147" s="157"/>
      <c r="W147" s="157"/>
      <c r="X147" s="157"/>
      <c r="Y147" s="157"/>
      <c r="Z147" s="157"/>
      <c r="AA147" s="164"/>
      <c r="AB147" s="157"/>
      <c r="AC147" s="157"/>
      <c r="AD147" s="157"/>
      <c r="AE147" s="157"/>
      <c r="AF147" s="157"/>
      <c r="AG147" s="157"/>
      <c r="AH147" s="157"/>
      <c r="AO147" s="157"/>
      <c r="AP147" s="127"/>
      <c r="AQ147" s="157"/>
      <c r="AR147" s="157"/>
      <c r="AS147" s="127"/>
      <c r="AT147" s="157"/>
      <c r="AU147" s="127"/>
      <c r="AV147" s="390"/>
      <c r="AW147" s="157"/>
      <c r="AX147" s="127"/>
      <c r="AY147" s="390"/>
      <c r="AZ147" s="157"/>
      <c r="BA147" s="127"/>
      <c r="BB147" s="390"/>
      <c r="BC147" s="127"/>
      <c r="BD147" s="127"/>
      <c r="BE147" s="390"/>
      <c r="BF147" s="157"/>
      <c r="BG147" s="157"/>
      <c r="BH147" s="157"/>
      <c r="BI147" s="157"/>
      <c r="BJ147" s="157"/>
      <c r="BK147" s="160"/>
    </row>
    <row r="148" spans="1:63" x14ac:dyDescent="0.2">
      <c r="A148" s="362"/>
      <c r="B148" s="23"/>
      <c r="C148" s="160"/>
      <c r="D148" s="23"/>
      <c r="E148" s="160"/>
      <c r="F148" s="23"/>
      <c r="G148" s="160"/>
      <c r="H148" s="23"/>
      <c r="I148" s="156"/>
      <c r="J148" s="127"/>
      <c r="K148" s="156"/>
      <c r="L148" s="127"/>
      <c r="M148" s="156"/>
      <c r="N148" s="127"/>
      <c r="O148" s="156"/>
      <c r="Q148" s="157"/>
      <c r="R148" s="157"/>
      <c r="S148" s="164"/>
      <c r="T148" s="157"/>
      <c r="U148" s="157"/>
      <c r="V148" s="157"/>
      <c r="W148" s="157"/>
      <c r="X148" s="157"/>
      <c r="Y148" s="157"/>
      <c r="Z148" s="157"/>
      <c r="AA148" s="164"/>
      <c r="AB148" s="157"/>
      <c r="AC148" s="157"/>
      <c r="AD148" s="157"/>
      <c r="AE148" s="157"/>
      <c r="AF148" s="157"/>
      <c r="AG148" s="157"/>
      <c r="AH148" s="157"/>
      <c r="AO148" s="157"/>
      <c r="AP148" s="127"/>
      <c r="AQ148" s="157"/>
      <c r="AR148" s="157"/>
      <c r="AS148" s="127"/>
      <c r="AT148" s="157"/>
      <c r="AU148" s="127"/>
      <c r="AV148" s="390"/>
      <c r="AW148" s="157"/>
      <c r="AX148" s="127"/>
      <c r="AY148" s="390"/>
      <c r="AZ148" s="157"/>
      <c r="BA148" s="127"/>
      <c r="BB148" s="390"/>
      <c r="BC148" s="127"/>
      <c r="BD148" s="127"/>
      <c r="BE148" s="390"/>
      <c r="BF148" s="157"/>
      <c r="BG148" s="157"/>
      <c r="BH148" s="157"/>
      <c r="BI148" s="157"/>
      <c r="BJ148" s="157"/>
      <c r="BK148" s="160"/>
    </row>
    <row r="149" spans="1:63" x14ac:dyDescent="0.2">
      <c r="A149" s="362"/>
      <c r="B149" s="23"/>
      <c r="C149" s="160"/>
      <c r="D149" s="23"/>
      <c r="E149" s="160"/>
      <c r="F149" s="23"/>
      <c r="G149" s="160"/>
      <c r="H149" s="23"/>
      <c r="I149" s="156"/>
      <c r="J149" s="127"/>
      <c r="K149" s="156"/>
      <c r="L149" s="127"/>
      <c r="M149" s="156"/>
      <c r="N149" s="127"/>
      <c r="O149" s="156"/>
      <c r="Q149" s="157"/>
      <c r="R149" s="157"/>
      <c r="S149" s="164"/>
      <c r="T149" s="157"/>
      <c r="U149" s="157"/>
      <c r="V149" s="157"/>
      <c r="W149" s="157"/>
      <c r="X149" s="157"/>
      <c r="Y149" s="157"/>
      <c r="Z149" s="157"/>
      <c r="AA149" s="164"/>
      <c r="AB149" s="157"/>
      <c r="AC149" s="157"/>
      <c r="AD149" s="157"/>
      <c r="AE149" s="157"/>
      <c r="AF149" s="157"/>
      <c r="AG149" s="157"/>
      <c r="AH149" s="157"/>
      <c r="AO149" s="157"/>
      <c r="AP149" s="127"/>
      <c r="AQ149" s="157"/>
      <c r="AR149" s="157"/>
      <c r="AS149" s="127"/>
      <c r="AT149" s="157"/>
      <c r="AU149" s="127"/>
      <c r="AV149" s="390"/>
      <c r="AW149" s="157"/>
      <c r="AX149" s="127"/>
      <c r="AY149" s="390"/>
      <c r="AZ149" s="157"/>
      <c r="BA149" s="127"/>
      <c r="BB149" s="390"/>
      <c r="BC149" s="127"/>
      <c r="BD149" s="127"/>
      <c r="BE149" s="390"/>
      <c r="BF149" s="157"/>
      <c r="BG149" s="157"/>
      <c r="BH149" s="157"/>
      <c r="BI149" s="157"/>
      <c r="BJ149" s="157"/>
      <c r="BK149" s="160"/>
    </row>
    <row r="150" spans="1:63" x14ac:dyDescent="0.2">
      <c r="A150" s="362"/>
      <c r="B150" s="23"/>
      <c r="C150" s="160"/>
      <c r="D150" s="23"/>
      <c r="E150" s="160"/>
      <c r="F150" s="23"/>
      <c r="G150" s="160"/>
      <c r="H150" s="23"/>
      <c r="I150" s="156"/>
      <c r="J150" s="127"/>
      <c r="K150" s="156"/>
      <c r="L150" s="127"/>
      <c r="M150" s="156"/>
      <c r="N150" s="127"/>
      <c r="O150" s="156"/>
      <c r="Q150" s="157"/>
      <c r="R150" s="157"/>
      <c r="S150" s="164"/>
      <c r="T150" s="157"/>
      <c r="U150" s="157"/>
      <c r="V150" s="157"/>
      <c r="W150" s="157"/>
      <c r="X150" s="157"/>
      <c r="Y150" s="157"/>
      <c r="Z150" s="157"/>
      <c r="AA150" s="164"/>
      <c r="AB150" s="157"/>
      <c r="AC150" s="157"/>
      <c r="AD150" s="157"/>
      <c r="AE150" s="157"/>
      <c r="AF150" s="157"/>
      <c r="AG150" s="157"/>
      <c r="AH150" s="157"/>
      <c r="AO150" s="157"/>
      <c r="AP150" s="127"/>
      <c r="AQ150" s="157"/>
      <c r="AR150" s="157"/>
      <c r="AS150" s="127"/>
      <c r="AT150" s="157"/>
      <c r="AU150" s="127"/>
      <c r="AV150" s="390"/>
      <c r="AW150" s="157"/>
      <c r="AX150" s="127"/>
      <c r="AY150" s="390"/>
      <c r="AZ150" s="157"/>
      <c r="BA150" s="127"/>
      <c r="BB150" s="390"/>
      <c r="BC150" s="127"/>
      <c r="BD150" s="127"/>
      <c r="BE150" s="390"/>
      <c r="BF150" s="157"/>
      <c r="BG150" s="157"/>
      <c r="BH150" s="157"/>
      <c r="BI150" s="157"/>
      <c r="BJ150" s="157"/>
      <c r="BK150" s="160"/>
    </row>
    <row r="151" spans="1:63" x14ac:dyDescent="0.2">
      <c r="A151" s="362"/>
      <c r="B151" s="23"/>
      <c r="C151" s="160"/>
      <c r="D151" s="23"/>
      <c r="E151" s="160"/>
      <c r="F151" s="23"/>
      <c r="G151" s="160"/>
      <c r="H151" s="23"/>
      <c r="I151" s="156"/>
      <c r="J151" s="127"/>
      <c r="K151" s="156"/>
      <c r="L151" s="127"/>
      <c r="M151" s="156"/>
      <c r="N151" s="127"/>
      <c r="O151" s="156"/>
      <c r="Q151" s="157"/>
      <c r="R151" s="157"/>
      <c r="S151" s="164"/>
      <c r="T151" s="157"/>
      <c r="U151" s="157"/>
      <c r="V151" s="157"/>
      <c r="W151" s="157"/>
      <c r="X151" s="157"/>
      <c r="Y151" s="157"/>
      <c r="Z151" s="157"/>
      <c r="AA151" s="164"/>
      <c r="AB151" s="157"/>
      <c r="AC151" s="157"/>
      <c r="AD151" s="157"/>
      <c r="AE151" s="157"/>
      <c r="AF151" s="157"/>
      <c r="AG151" s="157"/>
      <c r="AH151" s="157"/>
      <c r="AO151" s="157"/>
      <c r="AP151" s="127"/>
      <c r="AQ151" s="157"/>
      <c r="AR151" s="157"/>
      <c r="AS151" s="127"/>
      <c r="AT151" s="157"/>
      <c r="AU151" s="127"/>
      <c r="AV151" s="390"/>
      <c r="AW151" s="157"/>
      <c r="AX151" s="127"/>
      <c r="AY151" s="390"/>
      <c r="AZ151" s="157"/>
      <c r="BA151" s="127"/>
      <c r="BB151" s="390"/>
      <c r="BC151" s="127"/>
      <c r="BD151" s="127"/>
      <c r="BE151" s="390"/>
      <c r="BF151" s="157"/>
      <c r="BG151" s="157"/>
      <c r="BH151" s="157"/>
      <c r="BI151" s="157"/>
      <c r="BJ151" s="157"/>
      <c r="BK151" s="160"/>
    </row>
    <row r="152" spans="1:63" x14ac:dyDescent="0.2">
      <c r="A152" s="362"/>
      <c r="B152" s="23"/>
      <c r="C152" s="160"/>
      <c r="D152" s="23"/>
      <c r="E152" s="160"/>
      <c r="F152" s="23"/>
      <c r="G152" s="160"/>
      <c r="H152" s="23"/>
      <c r="I152" s="156"/>
      <c r="J152" s="127"/>
      <c r="K152" s="156"/>
      <c r="L152" s="127"/>
      <c r="M152" s="156"/>
      <c r="N152" s="127"/>
      <c r="O152" s="156"/>
      <c r="Q152" s="157"/>
      <c r="R152" s="157"/>
      <c r="S152" s="164"/>
      <c r="T152" s="157"/>
      <c r="U152" s="157"/>
      <c r="V152" s="157"/>
      <c r="W152" s="157"/>
      <c r="X152" s="157"/>
      <c r="Y152" s="157"/>
      <c r="Z152" s="157"/>
      <c r="AA152" s="164"/>
      <c r="AB152" s="157"/>
      <c r="AC152" s="157"/>
      <c r="AD152" s="157"/>
      <c r="AE152" s="157"/>
      <c r="AF152" s="157"/>
      <c r="AG152" s="157"/>
      <c r="AH152" s="157"/>
      <c r="AO152" s="157"/>
      <c r="AP152" s="127"/>
      <c r="AQ152" s="157"/>
      <c r="AR152" s="157"/>
      <c r="AS152" s="127"/>
      <c r="AT152" s="157"/>
      <c r="AU152" s="127"/>
      <c r="AV152" s="390"/>
      <c r="AW152" s="157"/>
      <c r="AX152" s="127"/>
      <c r="AY152" s="390"/>
      <c r="AZ152" s="157"/>
      <c r="BA152" s="127"/>
      <c r="BB152" s="390"/>
      <c r="BC152" s="127"/>
      <c r="BD152" s="127"/>
      <c r="BE152" s="390"/>
      <c r="BF152" s="157"/>
      <c r="BG152" s="157"/>
      <c r="BH152" s="157"/>
      <c r="BI152" s="157"/>
      <c r="BJ152" s="157"/>
      <c r="BK152" s="160"/>
    </row>
    <row r="153" spans="1:63" x14ac:dyDescent="0.2">
      <c r="A153" s="362"/>
      <c r="B153" s="23"/>
      <c r="C153" s="160"/>
      <c r="D153" s="23"/>
      <c r="E153" s="160"/>
      <c r="F153" s="23"/>
      <c r="G153" s="160"/>
      <c r="H153" s="23"/>
      <c r="I153" s="156"/>
      <c r="J153" s="127"/>
      <c r="K153" s="156"/>
      <c r="L153" s="127"/>
      <c r="M153" s="156"/>
      <c r="N153" s="127"/>
      <c r="O153" s="156"/>
      <c r="Q153" s="157"/>
      <c r="R153" s="157"/>
      <c r="S153" s="164"/>
      <c r="T153" s="157"/>
      <c r="U153" s="157"/>
      <c r="V153" s="157"/>
      <c r="W153" s="157"/>
      <c r="X153" s="157"/>
      <c r="Y153" s="157"/>
      <c r="Z153" s="157"/>
      <c r="AA153" s="164"/>
      <c r="AB153" s="157"/>
      <c r="AC153" s="157"/>
      <c r="AD153" s="157"/>
      <c r="AE153" s="157"/>
      <c r="AF153" s="157"/>
      <c r="AG153" s="157"/>
      <c r="AH153" s="157"/>
      <c r="AO153" s="157"/>
      <c r="AP153" s="127"/>
      <c r="AQ153" s="157"/>
      <c r="AR153" s="157"/>
      <c r="AS153" s="127"/>
      <c r="AT153" s="157"/>
      <c r="AU153" s="127"/>
      <c r="AV153" s="390"/>
      <c r="AW153" s="157"/>
      <c r="AX153" s="127"/>
      <c r="AY153" s="390"/>
      <c r="AZ153" s="157"/>
      <c r="BA153" s="127"/>
      <c r="BB153" s="390"/>
      <c r="BC153" s="127"/>
      <c r="BD153" s="127"/>
      <c r="BE153" s="390"/>
      <c r="BF153" s="157"/>
      <c r="BG153" s="157"/>
      <c r="BH153" s="157"/>
      <c r="BI153" s="157"/>
      <c r="BJ153" s="157"/>
      <c r="BK153" s="160"/>
    </row>
    <row r="154" spans="1:63" x14ac:dyDescent="0.2">
      <c r="A154" s="362"/>
      <c r="B154" s="23"/>
      <c r="C154" s="160"/>
      <c r="D154" s="23"/>
      <c r="E154" s="160"/>
      <c r="F154" s="23"/>
      <c r="G154" s="160"/>
      <c r="H154" s="23"/>
      <c r="I154" s="156"/>
      <c r="J154" s="127"/>
      <c r="K154" s="156"/>
      <c r="L154" s="127"/>
      <c r="M154" s="156"/>
      <c r="N154" s="127"/>
      <c r="O154" s="156"/>
      <c r="Q154" s="157"/>
      <c r="R154" s="157"/>
      <c r="S154" s="164"/>
      <c r="T154" s="157"/>
      <c r="U154" s="157"/>
      <c r="V154" s="157"/>
      <c r="W154" s="157"/>
      <c r="X154" s="157"/>
      <c r="Y154" s="157"/>
      <c r="Z154" s="157"/>
      <c r="AA154" s="164"/>
      <c r="AB154" s="157"/>
      <c r="AC154" s="157"/>
      <c r="AD154" s="157"/>
      <c r="AE154" s="157"/>
      <c r="AF154" s="157"/>
      <c r="AG154" s="157"/>
      <c r="AH154" s="157"/>
      <c r="AO154" s="157"/>
      <c r="AP154" s="127"/>
      <c r="AQ154" s="157"/>
      <c r="AR154" s="157"/>
      <c r="AS154" s="127"/>
      <c r="AT154" s="157"/>
      <c r="AU154" s="127"/>
      <c r="AV154" s="390"/>
      <c r="AW154" s="157"/>
      <c r="AX154" s="127"/>
      <c r="AY154" s="390"/>
      <c r="AZ154" s="157"/>
      <c r="BA154" s="127"/>
      <c r="BB154" s="390"/>
      <c r="BC154" s="127"/>
      <c r="BD154" s="127"/>
      <c r="BE154" s="390"/>
      <c r="BF154" s="157"/>
      <c r="BG154" s="157"/>
      <c r="BH154" s="157"/>
      <c r="BI154" s="157"/>
      <c r="BJ154" s="157"/>
      <c r="BK154" s="160"/>
    </row>
    <row r="155" spans="1:63" x14ac:dyDescent="0.2">
      <c r="A155" s="362"/>
      <c r="B155" s="23"/>
      <c r="C155" s="160"/>
      <c r="D155" s="23"/>
      <c r="E155" s="160"/>
      <c r="F155" s="23"/>
      <c r="G155" s="160"/>
      <c r="H155" s="23"/>
      <c r="I155" s="156"/>
      <c r="J155" s="127"/>
      <c r="K155" s="156"/>
      <c r="L155" s="127"/>
      <c r="M155" s="156"/>
      <c r="N155" s="127"/>
      <c r="O155" s="156"/>
      <c r="Q155" s="157"/>
      <c r="R155" s="157"/>
      <c r="S155" s="164"/>
      <c r="T155" s="157"/>
      <c r="U155" s="157"/>
      <c r="V155" s="157"/>
      <c r="W155" s="157"/>
      <c r="X155" s="157"/>
      <c r="Y155" s="157"/>
      <c r="Z155" s="157"/>
      <c r="AA155" s="164"/>
      <c r="AB155" s="157"/>
      <c r="AC155" s="157"/>
      <c r="AD155" s="157"/>
      <c r="AE155" s="157"/>
      <c r="AF155" s="157"/>
      <c r="AG155" s="157"/>
      <c r="AH155" s="157"/>
      <c r="AO155" s="157"/>
      <c r="AP155" s="127"/>
      <c r="AQ155" s="157"/>
      <c r="AR155" s="157"/>
      <c r="AS155" s="127"/>
      <c r="AT155" s="157"/>
      <c r="AU155" s="127"/>
      <c r="AV155" s="390"/>
      <c r="AW155" s="157"/>
      <c r="AX155" s="127"/>
      <c r="AY155" s="390"/>
      <c r="AZ155" s="157"/>
      <c r="BA155" s="127"/>
      <c r="BB155" s="390"/>
      <c r="BC155" s="127"/>
      <c r="BD155" s="127"/>
      <c r="BE155" s="390"/>
      <c r="BF155" s="157"/>
      <c r="BG155" s="157"/>
      <c r="BH155" s="157"/>
      <c r="BI155" s="157"/>
      <c r="BJ155" s="157"/>
      <c r="BK155" s="160"/>
    </row>
    <row r="156" spans="1:63" x14ac:dyDescent="0.2">
      <c r="A156" s="362"/>
      <c r="B156" s="23"/>
      <c r="C156" s="160"/>
      <c r="D156" s="23"/>
      <c r="E156" s="160"/>
      <c r="F156" s="23"/>
      <c r="G156" s="160"/>
      <c r="H156" s="23"/>
      <c r="I156" s="156"/>
      <c r="J156" s="127"/>
      <c r="K156" s="156"/>
      <c r="L156" s="127"/>
      <c r="M156" s="156"/>
      <c r="N156" s="127"/>
      <c r="O156" s="156"/>
      <c r="Q156" s="157"/>
      <c r="R156" s="157"/>
      <c r="S156" s="164"/>
      <c r="T156" s="157"/>
      <c r="U156" s="157"/>
      <c r="V156" s="157"/>
      <c r="W156" s="157"/>
      <c r="X156" s="157"/>
      <c r="Y156" s="157"/>
      <c r="Z156" s="157"/>
      <c r="AA156" s="164"/>
      <c r="AB156" s="157"/>
      <c r="AC156" s="157"/>
      <c r="AD156" s="157"/>
      <c r="AE156" s="157"/>
      <c r="AF156" s="157"/>
      <c r="AG156" s="157"/>
      <c r="AH156" s="157"/>
      <c r="AO156" s="157"/>
      <c r="AP156" s="127"/>
      <c r="AQ156" s="157"/>
      <c r="AR156" s="157"/>
      <c r="AS156" s="127"/>
      <c r="AT156" s="157"/>
      <c r="AU156" s="127"/>
      <c r="AV156" s="390"/>
      <c r="AW156" s="157"/>
      <c r="AX156" s="127"/>
      <c r="AY156" s="390"/>
      <c r="AZ156" s="157"/>
      <c r="BA156" s="127"/>
      <c r="BB156" s="390"/>
      <c r="BC156" s="127"/>
      <c r="BD156" s="127"/>
      <c r="BE156" s="390"/>
      <c r="BF156" s="157"/>
      <c r="BG156" s="157"/>
      <c r="BH156" s="157"/>
      <c r="BI156" s="157"/>
      <c r="BJ156" s="157"/>
      <c r="BK156" s="160"/>
    </row>
    <row r="157" spans="1:63" x14ac:dyDescent="0.2">
      <c r="A157" s="362"/>
      <c r="B157" s="23"/>
      <c r="C157" s="160"/>
      <c r="D157" s="23"/>
      <c r="E157" s="160"/>
      <c r="F157" s="23"/>
      <c r="G157" s="160"/>
      <c r="H157" s="23"/>
      <c r="I157" s="156"/>
      <c r="J157" s="127"/>
      <c r="K157" s="156"/>
      <c r="L157" s="127"/>
      <c r="M157" s="156"/>
      <c r="N157" s="127"/>
      <c r="O157" s="156"/>
      <c r="Q157" s="157"/>
      <c r="R157" s="157"/>
      <c r="S157" s="164"/>
      <c r="T157" s="157"/>
      <c r="U157" s="157"/>
      <c r="V157" s="157"/>
      <c r="W157" s="157"/>
      <c r="X157" s="157"/>
      <c r="Y157" s="157"/>
      <c r="Z157" s="157"/>
      <c r="AA157" s="164"/>
      <c r="AB157" s="157"/>
      <c r="AC157" s="157"/>
      <c r="AD157" s="157"/>
      <c r="AE157" s="157"/>
      <c r="AF157" s="157"/>
      <c r="AG157" s="157"/>
      <c r="AH157" s="157"/>
      <c r="AO157" s="157"/>
      <c r="AP157" s="127"/>
      <c r="AQ157" s="157"/>
      <c r="AR157" s="157"/>
      <c r="AS157" s="127"/>
      <c r="AT157" s="157"/>
      <c r="AU157" s="127"/>
      <c r="AV157" s="390"/>
      <c r="AW157" s="157"/>
      <c r="AX157" s="127"/>
      <c r="AY157" s="390"/>
      <c r="AZ157" s="157"/>
      <c r="BA157" s="127"/>
      <c r="BB157" s="390"/>
      <c r="BC157" s="127"/>
      <c r="BD157" s="127"/>
      <c r="BE157" s="390"/>
      <c r="BF157" s="157"/>
      <c r="BG157" s="157"/>
      <c r="BH157" s="157"/>
      <c r="BI157" s="157"/>
      <c r="BJ157" s="157"/>
      <c r="BK157" s="160"/>
    </row>
    <row r="158" spans="1:63" x14ac:dyDescent="0.2">
      <c r="A158" s="362"/>
      <c r="B158" s="23"/>
      <c r="C158" s="160"/>
      <c r="D158" s="23"/>
      <c r="E158" s="160"/>
      <c r="F158" s="23"/>
      <c r="G158" s="160"/>
      <c r="H158" s="23"/>
      <c r="I158" s="156"/>
      <c r="J158" s="127"/>
      <c r="K158" s="156"/>
      <c r="L158" s="127"/>
      <c r="M158" s="156"/>
      <c r="N158" s="127"/>
      <c r="O158" s="156"/>
      <c r="Q158" s="157"/>
      <c r="R158" s="157"/>
      <c r="S158" s="164"/>
      <c r="T158" s="157"/>
      <c r="U158" s="157"/>
      <c r="V158" s="157"/>
      <c r="W158" s="157"/>
      <c r="X158" s="157"/>
      <c r="Y158" s="157"/>
      <c r="Z158" s="157"/>
      <c r="AA158" s="164"/>
      <c r="AB158" s="157"/>
      <c r="AC158" s="157"/>
      <c r="AD158" s="157"/>
      <c r="AE158" s="157"/>
      <c r="AF158" s="157"/>
      <c r="AG158" s="157"/>
      <c r="AH158" s="157"/>
      <c r="AO158" s="157"/>
      <c r="AP158" s="127"/>
      <c r="AQ158" s="157"/>
      <c r="AR158" s="157"/>
      <c r="AS158" s="127"/>
      <c r="AT158" s="157"/>
      <c r="AU158" s="127"/>
      <c r="AV158" s="390"/>
      <c r="AW158" s="157"/>
      <c r="AX158" s="127"/>
      <c r="AY158" s="390"/>
      <c r="AZ158" s="157"/>
      <c r="BA158" s="127"/>
      <c r="BB158" s="390"/>
      <c r="BC158" s="127"/>
      <c r="BD158" s="127"/>
      <c r="BE158" s="390"/>
      <c r="BF158" s="157"/>
      <c r="BG158" s="157"/>
      <c r="BH158" s="157"/>
      <c r="BI158" s="157"/>
      <c r="BJ158" s="157"/>
      <c r="BK158" s="160"/>
    </row>
    <row r="159" spans="1:63" x14ac:dyDescent="0.2">
      <c r="A159" s="362"/>
      <c r="B159" s="23"/>
      <c r="C159" s="160"/>
      <c r="D159" s="23"/>
      <c r="E159" s="160"/>
      <c r="F159" s="23"/>
      <c r="G159" s="160"/>
      <c r="H159" s="23"/>
      <c r="I159" s="156"/>
      <c r="J159" s="127"/>
      <c r="K159" s="156"/>
      <c r="L159" s="127"/>
      <c r="M159" s="156"/>
      <c r="N159" s="127"/>
      <c r="O159" s="156"/>
      <c r="Q159" s="157"/>
      <c r="R159" s="157"/>
      <c r="S159" s="164"/>
      <c r="T159" s="157"/>
      <c r="U159" s="157"/>
      <c r="V159" s="157"/>
      <c r="W159" s="157"/>
      <c r="X159" s="157"/>
      <c r="Y159" s="157"/>
      <c r="Z159" s="157"/>
      <c r="AA159" s="164"/>
      <c r="AB159" s="157"/>
      <c r="AC159" s="157"/>
      <c r="AD159" s="157"/>
      <c r="AE159" s="157"/>
      <c r="AF159" s="157"/>
      <c r="AG159" s="157"/>
      <c r="AH159" s="157"/>
      <c r="AO159" s="157"/>
      <c r="AP159" s="127"/>
      <c r="AQ159" s="157"/>
      <c r="AR159" s="157"/>
      <c r="AS159" s="127"/>
      <c r="AT159" s="157"/>
      <c r="AU159" s="127"/>
      <c r="AV159" s="390"/>
      <c r="AW159" s="157"/>
      <c r="AX159" s="127"/>
      <c r="AY159" s="390"/>
      <c r="AZ159" s="157"/>
      <c r="BA159" s="127"/>
      <c r="BB159" s="390"/>
      <c r="BC159" s="127"/>
      <c r="BD159" s="127"/>
      <c r="BE159" s="390"/>
      <c r="BF159" s="157"/>
      <c r="BG159" s="157"/>
      <c r="BH159" s="157"/>
      <c r="BI159" s="157"/>
      <c r="BJ159" s="157"/>
      <c r="BK159" s="160"/>
    </row>
    <row r="160" spans="1:63" x14ac:dyDescent="0.2">
      <c r="A160" s="362"/>
      <c r="B160" s="23"/>
      <c r="C160" s="160"/>
      <c r="D160" s="23"/>
      <c r="E160" s="160"/>
      <c r="F160" s="23"/>
      <c r="G160" s="160"/>
      <c r="H160" s="23"/>
      <c r="I160" s="156"/>
      <c r="J160" s="127"/>
      <c r="K160" s="156"/>
      <c r="L160" s="127"/>
      <c r="M160" s="156"/>
      <c r="N160" s="127"/>
      <c r="O160" s="156"/>
      <c r="Q160" s="157"/>
      <c r="R160" s="157"/>
      <c r="S160" s="164"/>
      <c r="T160" s="157"/>
      <c r="U160" s="157"/>
      <c r="V160" s="157"/>
      <c r="W160" s="157"/>
      <c r="X160" s="157"/>
      <c r="Y160" s="157"/>
      <c r="Z160" s="157"/>
      <c r="AA160" s="164"/>
      <c r="AB160" s="157"/>
      <c r="AC160" s="157"/>
      <c r="AD160" s="157"/>
      <c r="AE160" s="157"/>
      <c r="AF160" s="157"/>
      <c r="AG160" s="157"/>
      <c r="AH160" s="157"/>
      <c r="AO160" s="157"/>
      <c r="AP160" s="127"/>
      <c r="AQ160" s="157"/>
      <c r="AR160" s="157"/>
      <c r="AS160" s="127"/>
      <c r="AT160" s="157"/>
      <c r="AU160" s="127"/>
      <c r="AV160" s="390"/>
      <c r="AW160" s="157"/>
      <c r="AX160" s="127"/>
      <c r="AY160" s="390"/>
      <c r="AZ160" s="157"/>
      <c r="BA160" s="127"/>
      <c r="BB160" s="390"/>
      <c r="BC160" s="127"/>
      <c r="BD160" s="127"/>
      <c r="BE160" s="390"/>
      <c r="BF160" s="157"/>
      <c r="BG160" s="157"/>
      <c r="BH160" s="157"/>
      <c r="BI160" s="157"/>
      <c r="BJ160" s="157"/>
      <c r="BK160" s="160"/>
    </row>
    <row r="161" spans="1:63" x14ac:dyDescent="0.2">
      <c r="A161" s="362"/>
      <c r="B161" s="23"/>
      <c r="C161" s="160"/>
      <c r="D161" s="23"/>
      <c r="E161" s="160"/>
      <c r="F161" s="23"/>
      <c r="G161" s="160"/>
      <c r="H161" s="23"/>
      <c r="I161" s="156"/>
      <c r="J161" s="127"/>
      <c r="K161" s="156"/>
      <c r="L161" s="127"/>
      <c r="M161" s="156"/>
      <c r="N161" s="127"/>
      <c r="O161" s="156"/>
      <c r="Q161" s="157"/>
      <c r="R161" s="157"/>
      <c r="S161" s="164"/>
      <c r="T161" s="157"/>
      <c r="U161" s="157"/>
      <c r="V161" s="157"/>
      <c r="W161" s="157"/>
      <c r="X161" s="157"/>
      <c r="Y161" s="157"/>
      <c r="Z161" s="157"/>
      <c r="AA161" s="164"/>
      <c r="AB161" s="157"/>
      <c r="AC161" s="157"/>
      <c r="AD161" s="157"/>
      <c r="AE161" s="157"/>
      <c r="AF161" s="157"/>
      <c r="AG161" s="157"/>
      <c r="AH161" s="157"/>
      <c r="AO161" s="157"/>
      <c r="AP161" s="127"/>
      <c r="AQ161" s="157"/>
      <c r="AR161" s="157"/>
      <c r="AS161" s="127"/>
      <c r="AT161" s="157"/>
      <c r="AU161" s="127"/>
      <c r="AV161" s="390"/>
      <c r="AW161" s="157"/>
      <c r="AX161" s="127"/>
      <c r="AY161" s="390"/>
      <c r="AZ161" s="157"/>
      <c r="BA161" s="127"/>
      <c r="BB161" s="390"/>
      <c r="BC161" s="127"/>
      <c r="BD161" s="127"/>
      <c r="BE161" s="390"/>
      <c r="BF161" s="157"/>
      <c r="BG161" s="157"/>
      <c r="BH161" s="157"/>
      <c r="BI161" s="157"/>
      <c r="BJ161" s="157"/>
      <c r="BK161" s="160"/>
    </row>
    <row r="162" spans="1:63" x14ac:dyDescent="0.2">
      <c r="A162" s="362"/>
      <c r="B162" s="23"/>
      <c r="C162" s="160"/>
      <c r="D162" s="23"/>
      <c r="E162" s="160"/>
      <c r="F162" s="23"/>
      <c r="G162" s="160"/>
      <c r="H162" s="23"/>
      <c r="I162" s="156"/>
      <c r="J162" s="127"/>
      <c r="K162" s="156"/>
      <c r="L162" s="127"/>
      <c r="M162" s="156"/>
      <c r="N162" s="127"/>
      <c r="O162" s="156"/>
      <c r="Q162" s="157"/>
      <c r="R162" s="157"/>
      <c r="S162" s="164"/>
      <c r="T162" s="157"/>
      <c r="U162" s="157"/>
      <c r="V162" s="157"/>
      <c r="W162" s="157"/>
      <c r="X162" s="157"/>
      <c r="Y162" s="157"/>
      <c r="Z162" s="157"/>
      <c r="AA162" s="164"/>
      <c r="AB162" s="157"/>
      <c r="AC162" s="157"/>
      <c r="AD162" s="157"/>
      <c r="AE162" s="157"/>
      <c r="AF162" s="157"/>
      <c r="AG162" s="157"/>
      <c r="AH162" s="157"/>
      <c r="AO162" s="157"/>
      <c r="AP162" s="127"/>
      <c r="AQ162" s="157"/>
      <c r="AR162" s="157"/>
      <c r="AS162" s="127"/>
      <c r="AT162" s="157"/>
      <c r="AU162" s="127"/>
      <c r="AV162" s="390"/>
      <c r="AW162" s="157"/>
      <c r="AX162" s="127"/>
      <c r="AY162" s="390"/>
      <c r="AZ162" s="157"/>
      <c r="BA162" s="127"/>
      <c r="BB162" s="390"/>
      <c r="BC162" s="127"/>
      <c r="BD162" s="127"/>
      <c r="BE162" s="390"/>
      <c r="BF162" s="157"/>
      <c r="BG162" s="157"/>
      <c r="BH162" s="157"/>
      <c r="BI162" s="157"/>
      <c r="BJ162" s="157"/>
      <c r="BK162" s="160"/>
    </row>
    <row r="163" spans="1:63" x14ac:dyDescent="0.2">
      <c r="A163" s="362"/>
      <c r="B163" s="23"/>
      <c r="C163" s="160"/>
      <c r="D163" s="23"/>
      <c r="E163" s="160"/>
      <c r="F163" s="23"/>
      <c r="G163" s="160"/>
      <c r="H163" s="23"/>
      <c r="I163" s="156"/>
      <c r="J163" s="127"/>
      <c r="K163" s="156"/>
      <c r="L163" s="127"/>
      <c r="M163" s="156"/>
      <c r="N163" s="127"/>
      <c r="O163" s="156"/>
      <c r="Q163" s="157"/>
      <c r="R163" s="157"/>
      <c r="S163" s="164"/>
      <c r="T163" s="157"/>
      <c r="U163" s="157"/>
      <c r="V163" s="157"/>
      <c r="W163" s="157"/>
      <c r="X163" s="157"/>
      <c r="Y163" s="157"/>
      <c r="Z163" s="157"/>
      <c r="AA163" s="164"/>
      <c r="AB163" s="157"/>
      <c r="AC163" s="157"/>
      <c r="AD163" s="157"/>
      <c r="AE163" s="157"/>
      <c r="AF163" s="157"/>
      <c r="AG163" s="157"/>
      <c r="AH163" s="157"/>
      <c r="AO163" s="157"/>
      <c r="AP163" s="127"/>
      <c r="AQ163" s="157"/>
      <c r="AR163" s="157"/>
      <c r="AS163" s="127"/>
      <c r="AT163" s="157"/>
      <c r="AU163" s="127"/>
      <c r="AV163" s="390"/>
      <c r="AW163" s="157"/>
      <c r="AX163" s="127"/>
      <c r="AY163" s="390"/>
      <c r="AZ163" s="157"/>
      <c r="BA163" s="127"/>
      <c r="BB163" s="390"/>
      <c r="BC163" s="127"/>
      <c r="BD163" s="127"/>
      <c r="BE163" s="390"/>
      <c r="BF163" s="157"/>
      <c r="BG163" s="157"/>
      <c r="BH163" s="157"/>
      <c r="BI163" s="157"/>
      <c r="BJ163" s="157"/>
      <c r="BK163" s="160"/>
    </row>
    <row r="164" spans="1:63" x14ac:dyDescent="0.2">
      <c r="A164" s="362"/>
      <c r="B164" s="23"/>
      <c r="C164" s="160"/>
      <c r="D164" s="23"/>
      <c r="E164" s="160"/>
      <c r="F164" s="23"/>
      <c r="G164" s="160"/>
      <c r="H164" s="23"/>
      <c r="I164" s="156"/>
      <c r="J164" s="127"/>
      <c r="K164" s="156"/>
      <c r="L164" s="127"/>
      <c r="M164" s="156"/>
      <c r="N164" s="127"/>
      <c r="O164" s="156"/>
      <c r="Q164" s="157"/>
      <c r="R164" s="157"/>
      <c r="S164" s="164"/>
      <c r="T164" s="157"/>
      <c r="U164" s="157"/>
      <c r="V164" s="157"/>
      <c r="W164" s="157"/>
      <c r="X164" s="157"/>
      <c r="Y164" s="157"/>
      <c r="Z164" s="157"/>
      <c r="AA164" s="164"/>
      <c r="AB164" s="157"/>
      <c r="AC164" s="157"/>
      <c r="AD164" s="157"/>
      <c r="AE164" s="157"/>
      <c r="AF164" s="157"/>
      <c r="AG164" s="157"/>
      <c r="AH164" s="157"/>
      <c r="AO164" s="157"/>
      <c r="AP164" s="127"/>
      <c r="AQ164" s="157"/>
      <c r="AR164" s="157"/>
      <c r="AS164" s="127"/>
      <c r="AT164" s="157"/>
      <c r="AU164" s="127"/>
      <c r="AV164" s="390"/>
      <c r="AW164" s="157"/>
      <c r="AX164" s="127"/>
      <c r="AY164" s="390"/>
      <c r="AZ164" s="157"/>
      <c r="BA164" s="127"/>
      <c r="BB164" s="390"/>
      <c r="BC164" s="127"/>
      <c r="BD164" s="127"/>
      <c r="BE164" s="390"/>
      <c r="BF164" s="157"/>
      <c r="BG164" s="157"/>
      <c r="BH164" s="157"/>
      <c r="BI164" s="157"/>
      <c r="BJ164" s="157"/>
      <c r="BK164" s="160"/>
    </row>
    <row r="165" spans="1:63" x14ac:dyDescent="0.2">
      <c r="A165" s="362"/>
      <c r="B165" s="23"/>
      <c r="C165" s="160"/>
      <c r="D165" s="23"/>
      <c r="E165" s="160"/>
      <c r="F165" s="23"/>
      <c r="G165" s="160"/>
      <c r="H165" s="23"/>
      <c r="I165" s="156"/>
      <c r="J165" s="127"/>
      <c r="K165" s="156"/>
      <c r="L165" s="127"/>
      <c r="M165" s="156"/>
      <c r="N165" s="127"/>
      <c r="O165" s="156"/>
      <c r="Q165" s="157"/>
      <c r="R165" s="157"/>
      <c r="S165" s="164"/>
      <c r="T165" s="157"/>
      <c r="U165" s="157"/>
      <c r="V165" s="157"/>
      <c r="W165" s="157"/>
      <c r="X165" s="157"/>
      <c r="Y165" s="157"/>
      <c r="Z165" s="157"/>
      <c r="AA165" s="164"/>
      <c r="AB165" s="157"/>
      <c r="AC165" s="157"/>
      <c r="AD165" s="157"/>
      <c r="AE165" s="157"/>
      <c r="AF165" s="157"/>
      <c r="AG165" s="157"/>
      <c r="AH165" s="157"/>
      <c r="AO165" s="157"/>
      <c r="AP165" s="127"/>
      <c r="AQ165" s="157"/>
      <c r="AR165" s="157"/>
      <c r="AS165" s="127"/>
      <c r="AT165" s="157"/>
      <c r="AU165" s="127"/>
      <c r="AV165" s="390"/>
      <c r="AW165" s="157"/>
      <c r="AX165" s="127"/>
      <c r="AY165" s="390"/>
      <c r="AZ165" s="157"/>
      <c r="BA165" s="127"/>
      <c r="BB165" s="390"/>
      <c r="BC165" s="127"/>
      <c r="BD165" s="127"/>
      <c r="BE165" s="390"/>
      <c r="BF165" s="157"/>
      <c r="BG165" s="157"/>
      <c r="BH165" s="157"/>
      <c r="BI165" s="157"/>
      <c r="BJ165" s="157"/>
      <c r="BK165" s="160"/>
    </row>
    <row r="166" spans="1:63" x14ac:dyDescent="0.2">
      <c r="A166" s="362"/>
      <c r="B166" s="23"/>
      <c r="C166" s="160"/>
      <c r="D166" s="23"/>
      <c r="E166" s="160"/>
      <c r="F166" s="23"/>
      <c r="G166" s="160"/>
      <c r="H166" s="23"/>
      <c r="I166" s="156"/>
      <c r="J166" s="127"/>
      <c r="K166" s="156"/>
      <c r="L166" s="127"/>
      <c r="M166" s="156"/>
      <c r="N166" s="127"/>
      <c r="O166" s="156"/>
      <c r="Q166" s="157"/>
      <c r="R166" s="157"/>
      <c r="S166" s="164"/>
      <c r="T166" s="157"/>
      <c r="U166" s="157"/>
      <c r="V166" s="157"/>
      <c r="W166" s="157"/>
      <c r="X166" s="157"/>
      <c r="Y166" s="157"/>
      <c r="Z166" s="157"/>
      <c r="AA166" s="164"/>
      <c r="AB166" s="157"/>
      <c r="AC166" s="157"/>
      <c r="AD166" s="157"/>
      <c r="AE166" s="157"/>
      <c r="AF166" s="157"/>
      <c r="AG166" s="157"/>
      <c r="AH166" s="157"/>
      <c r="AO166" s="157"/>
      <c r="AP166" s="127"/>
      <c r="AQ166" s="157"/>
      <c r="AR166" s="157"/>
      <c r="AS166" s="127"/>
      <c r="AT166" s="157"/>
      <c r="AU166" s="127"/>
      <c r="AV166" s="390"/>
      <c r="AW166" s="157"/>
      <c r="AX166" s="127"/>
      <c r="AY166" s="390"/>
      <c r="AZ166" s="157"/>
      <c r="BA166" s="127"/>
      <c r="BB166" s="390"/>
      <c r="BC166" s="127"/>
      <c r="BD166" s="127"/>
      <c r="BE166" s="390"/>
      <c r="BF166" s="157"/>
      <c r="BG166" s="157"/>
      <c r="BH166" s="157"/>
      <c r="BI166" s="157"/>
      <c r="BJ166" s="157"/>
      <c r="BK166" s="160"/>
    </row>
    <row r="167" spans="1:63" x14ac:dyDescent="0.2">
      <c r="A167" s="362"/>
      <c r="B167" s="23"/>
      <c r="C167" s="160"/>
      <c r="D167" s="23"/>
      <c r="E167" s="160"/>
      <c r="F167" s="23"/>
      <c r="G167" s="160"/>
      <c r="H167" s="23"/>
      <c r="I167" s="156"/>
      <c r="J167" s="127"/>
      <c r="K167" s="156"/>
      <c r="L167" s="127"/>
      <c r="M167" s="156"/>
      <c r="N167" s="127"/>
      <c r="O167" s="156"/>
      <c r="Q167" s="157"/>
      <c r="R167" s="157"/>
      <c r="S167" s="164"/>
      <c r="T167" s="157"/>
      <c r="U167" s="157"/>
      <c r="V167" s="157"/>
      <c r="W167" s="157"/>
      <c r="X167" s="157"/>
      <c r="Y167" s="157"/>
      <c r="Z167" s="157"/>
      <c r="AA167" s="164"/>
      <c r="AB167" s="157"/>
      <c r="AC167" s="157"/>
      <c r="AD167" s="157"/>
      <c r="AE167" s="157"/>
      <c r="AF167" s="157"/>
      <c r="AG167" s="157"/>
      <c r="AH167" s="157"/>
      <c r="AO167" s="157"/>
      <c r="AP167" s="127"/>
      <c r="AQ167" s="157"/>
      <c r="AR167" s="157"/>
      <c r="AS167" s="127"/>
      <c r="AT167" s="157"/>
      <c r="AU167" s="127"/>
      <c r="AV167" s="390"/>
      <c r="AW167" s="157"/>
      <c r="AX167" s="127"/>
      <c r="AY167" s="390"/>
      <c r="AZ167" s="157"/>
      <c r="BA167" s="127"/>
      <c r="BB167" s="390"/>
      <c r="BC167" s="127"/>
      <c r="BD167" s="127"/>
      <c r="BE167" s="390"/>
      <c r="BF167" s="157"/>
      <c r="BG167" s="157"/>
      <c r="BH167" s="157"/>
      <c r="BI167" s="157"/>
      <c r="BJ167" s="157"/>
      <c r="BK167" s="160"/>
    </row>
    <row r="168" spans="1:63" x14ac:dyDescent="0.2">
      <c r="A168" s="362"/>
      <c r="B168" s="23"/>
      <c r="C168" s="160"/>
      <c r="D168" s="23"/>
      <c r="E168" s="160"/>
      <c r="F168" s="23"/>
      <c r="G168" s="160"/>
      <c r="H168" s="23"/>
      <c r="I168" s="156"/>
      <c r="J168" s="127"/>
      <c r="K168" s="156"/>
      <c r="L168" s="127"/>
      <c r="M168" s="156"/>
      <c r="N168" s="127"/>
      <c r="O168" s="156"/>
      <c r="Q168" s="157"/>
      <c r="R168" s="157"/>
      <c r="S168" s="164"/>
      <c r="T168" s="157"/>
      <c r="U168" s="157"/>
      <c r="V168" s="157"/>
      <c r="W168" s="157"/>
      <c r="X168" s="157"/>
      <c r="Y168" s="157"/>
      <c r="Z168" s="157"/>
      <c r="AA168" s="164"/>
      <c r="AB168" s="157"/>
      <c r="AC168" s="157"/>
      <c r="AD168" s="157"/>
      <c r="AE168" s="157"/>
      <c r="AF168" s="157"/>
      <c r="AG168" s="157"/>
      <c r="AH168" s="157"/>
      <c r="AO168" s="157"/>
      <c r="AP168" s="127"/>
      <c r="AQ168" s="157"/>
      <c r="AR168" s="157"/>
      <c r="AS168" s="127"/>
      <c r="AT168" s="157"/>
      <c r="AU168" s="127"/>
      <c r="AV168" s="390"/>
      <c r="AW168" s="157"/>
      <c r="AX168" s="127"/>
      <c r="AY168" s="390"/>
      <c r="AZ168" s="157"/>
      <c r="BA168" s="127"/>
      <c r="BB168" s="390"/>
      <c r="BC168" s="127"/>
      <c r="BD168" s="127"/>
      <c r="BE168" s="390"/>
      <c r="BF168" s="157"/>
      <c r="BG168" s="157"/>
      <c r="BH168" s="157"/>
      <c r="BI168" s="157"/>
      <c r="BJ168" s="157"/>
      <c r="BK168" s="160"/>
    </row>
    <row r="169" spans="1:63" x14ac:dyDescent="0.2">
      <c r="A169" s="362"/>
      <c r="B169" s="23"/>
      <c r="C169" s="160"/>
      <c r="D169" s="23"/>
      <c r="E169" s="160"/>
      <c r="F169" s="23"/>
      <c r="G169" s="160"/>
      <c r="H169" s="23"/>
      <c r="I169" s="156"/>
      <c r="J169" s="127"/>
      <c r="K169" s="156"/>
      <c r="L169" s="127"/>
      <c r="M169" s="156"/>
      <c r="N169" s="127"/>
      <c r="O169" s="156"/>
      <c r="Q169" s="157"/>
      <c r="R169" s="157"/>
      <c r="S169" s="164"/>
      <c r="T169" s="157"/>
      <c r="U169" s="157"/>
      <c r="V169" s="157"/>
      <c r="W169" s="157"/>
      <c r="X169" s="157"/>
      <c r="Y169" s="157"/>
      <c r="Z169" s="157"/>
      <c r="AA169" s="164"/>
      <c r="AB169" s="157"/>
      <c r="AC169" s="157"/>
      <c r="AD169" s="157"/>
      <c r="AE169" s="157"/>
      <c r="AF169" s="157"/>
      <c r="AG169" s="157"/>
      <c r="AH169" s="157"/>
      <c r="AO169" s="157"/>
      <c r="AP169" s="127"/>
      <c r="AQ169" s="157"/>
      <c r="AR169" s="157"/>
      <c r="AS169" s="127"/>
      <c r="AT169" s="157"/>
      <c r="AU169" s="127"/>
      <c r="AV169" s="390"/>
      <c r="AW169" s="157"/>
      <c r="AX169" s="127"/>
      <c r="AY169" s="390"/>
      <c r="AZ169" s="157"/>
      <c r="BA169" s="127"/>
      <c r="BB169" s="390"/>
      <c r="BC169" s="127"/>
      <c r="BD169" s="127"/>
      <c r="BE169" s="390"/>
      <c r="BF169" s="157"/>
      <c r="BG169" s="157"/>
      <c r="BH169" s="157"/>
      <c r="BI169" s="157"/>
      <c r="BJ169" s="157"/>
      <c r="BK169" s="160"/>
    </row>
    <row r="170" spans="1:63" x14ac:dyDescent="0.2">
      <c r="BF170" s="393"/>
      <c r="BG170" s="393"/>
      <c r="BH170" s="393"/>
      <c r="BI170" s="393"/>
      <c r="BJ170" s="393"/>
    </row>
  </sheetData>
  <autoFilter ref="A1:BK169" xr:uid="{00000000-0009-0000-0000-000004000000}"/>
  <mergeCells count="1">
    <mergeCell ref="A90:C90"/>
  </mergeCells>
  <phoneticPr fontId="3" type="noConversion"/>
  <pageMargins left="0.3" right="0.17" top="0.91" bottom="0.37" header="0.42" footer="0.21"/>
  <pageSetup scale="65" orientation="landscape" r:id="rId1"/>
  <headerFooter alignWithMargins="0">
    <oddHeader>&amp;L&amp;"Arial,Bold"&amp;12Department of Public Safety&amp;R&amp;"Arial,Bold"&amp;12Justice System Appropriations Subcommittee</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W246"/>
  <sheetViews>
    <sheetView zoomScale="80" zoomScaleNormal="80" workbookViewId="0">
      <selection activeCell="E2" sqref="E2"/>
    </sheetView>
  </sheetViews>
  <sheetFormatPr defaultColWidth="9.140625" defaultRowHeight="46.15" customHeight="1" x14ac:dyDescent="0.2"/>
  <cols>
    <col min="1" max="1" width="13" style="111" customWidth="1"/>
    <col min="2" max="2" width="0.7109375" style="111" customWidth="1"/>
    <col min="3" max="3" width="17.140625" style="112" customWidth="1"/>
    <col min="4" max="4" width="1.140625" style="111" customWidth="1"/>
    <col min="5" max="5" width="26" style="113" customWidth="1"/>
    <col min="6" max="6" width="1" style="114" customWidth="1"/>
    <col min="7" max="7" width="26.28515625" style="113" customWidth="1"/>
    <col min="8" max="8" width="1" style="114" customWidth="1"/>
    <col min="9" max="9" width="12" style="114" customWidth="1"/>
    <col min="10" max="10" width="1.28515625" style="21" customWidth="1"/>
    <col min="11" max="11" width="13.42578125" style="24" customWidth="1"/>
    <col min="12" max="12" width="2" style="21" customWidth="1"/>
    <col min="13" max="13" width="11.28515625" style="21" customWidth="1"/>
    <col min="14" max="14" width="2.42578125" style="21" customWidth="1"/>
    <col min="15" max="15" width="9.42578125" style="111" bestFit="1" customWidth="1"/>
    <col min="16" max="16" width="21.140625" style="171" customWidth="1"/>
    <col min="17" max="17" width="13.140625" style="21" hidden="1" customWidth="1"/>
    <col min="18" max="18" width="0.85546875" style="21" hidden="1" customWidth="1"/>
    <col min="19" max="19" width="12.42578125" style="50" hidden="1" customWidth="1"/>
    <col min="20" max="20" width="0.85546875" style="21" hidden="1" customWidth="1"/>
    <col min="21" max="21" width="10.28515625" style="160" hidden="1" customWidth="1"/>
    <col min="22" max="22" width="1.140625" style="21" hidden="1" customWidth="1"/>
    <col min="23" max="23" width="10.7109375" style="160" hidden="1" customWidth="1"/>
    <col min="24" max="24" width="0.85546875" style="21" customWidth="1"/>
    <col min="25" max="25" width="13.140625" style="160" hidden="1" customWidth="1"/>
    <col min="26" max="26" width="0.85546875" style="160" hidden="1" customWidth="1"/>
    <col min="27" max="27" width="12.42578125" style="70" hidden="1" customWidth="1"/>
    <col min="28" max="28" width="0.85546875" style="160" hidden="1" customWidth="1"/>
    <col min="29" max="29" width="10.28515625" style="160" hidden="1" customWidth="1"/>
    <col min="30" max="30" width="1.140625" style="160" hidden="1" customWidth="1"/>
    <col min="31" max="31" width="10.7109375" style="160" hidden="1" customWidth="1"/>
    <col min="32" max="32" width="10.28515625" style="160" hidden="1" customWidth="1"/>
    <col min="33" max="33" width="1.140625" style="160" hidden="1" customWidth="1"/>
    <col min="34" max="34" width="10.7109375" style="160" hidden="1" customWidth="1"/>
    <col min="35" max="35" width="10.28515625" style="160" customWidth="1"/>
    <col min="36" max="36" width="1.140625" style="160" customWidth="1"/>
    <col min="37" max="37" width="13" style="160" bestFit="1" customWidth="1"/>
    <col min="38" max="38" width="10.28515625" style="160" customWidth="1"/>
    <col min="39" max="39" width="1.140625" style="160" customWidth="1"/>
    <col min="40" max="40" width="12.7109375" style="160" bestFit="1" customWidth="1"/>
    <col min="41" max="41" width="1.5703125" style="21" customWidth="1"/>
    <col min="42" max="42" width="9.42578125" style="21" customWidth="1"/>
    <col min="43" max="43" width="10.28515625" style="21" bestFit="1" customWidth="1"/>
    <col min="44" max="44" width="1.5703125" style="21" customWidth="1"/>
    <col min="45" max="45" width="9.42578125" style="21" customWidth="1"/>
    <col min="46" max="46" width="10.28515625" style="21" bestFit="1" customWidth="1"/>
    <col min="47" max="47" width="18.85546875" style="155" customWidth="1"/>
    <col min="48" max="1531" width="9.140625" style="22"/>
    <col min="1532" max="16384" width="9.140625" style="21"/>
  </cols>
  <sheetData>
    <row r="1" spans="1:47" ht="51" x14ac:dyDescent="0.2">
      <c r="A1" s="116" t="s">
        <v>9</v>
      </c>
      <c r="B1" s="116"/>
      <c r="C1" s="116" t="s">
        <v>39</v>
      </c>
      <c r="D1" s="116"/>
      <c r="E1" s="116" t="s">
        <v>0</v>
      </c>
      <c r="F1" s="116"/>
      <c r="G1" s="116" t="s">
        <v>1</v>
      </c>
      <c r="H1" s="116"/>
      <c r="I1" s="118" t="s">
        <v>4</v>
      </c>
      <c r="J1" s="116"/>
      <c r="K1" s="116" t="s">
        <v>2</v>
      </c>
      <c r="L1" s="116"/>
      <c r="M1" s="116" t="s">
        <v>7</v>
      </c>
      <c r="N1" s="116"/>
      <c r="O1" s="118" t="s">
        <v>8</v>
      </c>
      <c r="P1" s="211" t="s">
        <v>23</v>
      </c>
      <c r="Q1" s="119" t="s">
        <v>5</v>
      </c>
      <c r="R1" s="116"/>
      <c r="S1" s="118" t="s">
        <v>6</v>
      </c>
      <c r="T1" s="116"/>
      <c r="U1" s="147" t="s">
        <v>560</v>
      </c>
      <c r="V1" s="116"/>
      <c r="W1" s="152" t="s">
        <v>561</v>
      </c>
      <c r="X1" s="116"/>
      <c r="Y1" s="212" t="s">
        <v>676</v>
      </c>
      <c r="Z1" s="211"/>
      <c r="AA1" s="152" t="s">
        <v>677</v>
      </c>
      <c r="AB1" s="211"/>
      <c r="AC1" s="147" t="s">
        <v>678</v>
      </c>
      <c r="AD1" s="211"/>
      <c r="AE1" s="152" t="s">
        <v>679</v>
      </c>
      <c r="AF1" s="147" t="s">
        <v>680</v>
      </c>
      <c r="AG1" s="211"/>
      <c r="AH1" s="152" t="s">
        <v>681</v>
      </c>
      <c r="AI1" s="147" t="s">
        <v>773</v>
      </c>
      <c r="AJ1" s="211"/>
      <c r="AK1" s="152" t="s">
        <v>774</v>
      </c>
      <c r="AL1" s="147" t="s">
        <v>775</v>
      </c>
      <c r="AM1" s="211"/>
      <c r="AN1" s="152" t="s">
        <v>776</v>
      </c>
      <c r="AO1" s="208"/>
      <c r="AP1" s="147" t="s">
        <v>871</v>
      </c>
      <c r="AQ1" s="152" t="s">
        <v>872</v>
      </c>
      <c r="AR1" s="208"/>
      <c r="AS1" s="147" t="s">
        <v>873</v>
      </c>
      <c r="AT1" s="152" t="s">
        <v>874</v>
      </c>
      <c r="AU1" s="246" t="s">
        <v>781</v>
      </c>
    </row>
    <row r="2" spans="1:47" ht="67.150000000000006" customHeight="1" x14ac:dyDescent="0.2">
      <c r="A2" s="306" t="s">
        <v>525</v>
      </c>
      <c r="B2" s="155"/>
      <c r="C2" s="174" t="s">
        <v>558</v>
      </c>
      <c r="D2" s="157"/>
      <c r="E2" s="158" t="s">
        <v>526</v>
      </c>
      <c r="F2" s="156"/>
      <c r="G2" s="158" t="s">
        <v>531</v>
      </c>
      <c r="H2" s="156"/>
      <c r="I2" s="144" t="s">
        <v>860</v>
      </c>
      <c r="J2" s="157"/>
      <c r="K2" s="156" t="s">
        <v>527</v>
      </c>
      <c r="L2" s="157"/>
      <c r="M2" s="174" t="s">
        <v>557</v>
      </c>
      <c r="N2" s="157"/>
      <c r="O2" s="157">
        <v>2016</v>
      </c>
      <c r="P2" s="173" t="s">
        <v>750</v>
      </c>
      <c r="Q2" s="176">
        <v>197</v>
      </c>
      <c r="R2" s="157"/>
      <c r="S2" s="139">
        <f>197*4000</f>
        <v>788000</v>
      </c>
      <c r="T2" s="157"/>
      <c r="U2" s="363">
        <v>160</v>
      </c>
      <c r="V2" s="157"/>
      <c r="W2" s="364">
        <f>160*4606</f>
        <v>736960</v>
      </c>
      <c r="X2" s="157"/>
      <c r="Y2" s="365">
        <v>159</v>
      </c>
      <c r="Z2" s="157"/>
      <c r="AA2" s="139">
        <f>(158*5000)+(1*275)</f>
        <v>790275</v>
      </c>
      <c r="AB2" s="157"/>
      <c r="AC2" s="363">
        <v>181</v>
      </c>
      <c r="AD2" s="157"/>
      <c r="AE2" s="364">
        <f>181*5000</f>
        <v>905000</v>
      </c>
      <c r="AF2" s="363">
        <v>172</v>
      </c>
      <c r="AG2" s="157"/>
      <c r="AH2" s="364">
        <f>(169*5374.09)+(3*300)</f>
        <v>909121.21000000008</v>
      </c>
      <c r="AI2" s="176">
        <v>230</v>
      </c>
      <c r="AJ2" s="157"/>
      <c r="AK2" s="366">
        <v>1632915</v>
      </c>
      <c r="AL2" s="176">
        <v>220</v>
      </c>
      <c r="AM2" s="157"/>
      <c r="AN2" s="366">
        <v>1336065</v>
      </c>
      <c r="AO2" s="295"/>
      <c r="AP2" s="295"/>
      <c r="AQ2" s="295"/>
      <c r="AR2" s="295"/>
      <c r="AS2" s="295"/>
      <c r="AT2" s="295"/>
      <c r="AU2" s="315" t="s">
        <v>797</v>
      </c>
    </row>
    <row r="3" spans="1:47" ht="58.9" customHeight="1" x14ac:dyDescent="0.2">
      <c r="A3" s="305" t="s">
        <v>528</v>
      </c>
      <c r="B3" s="121"/>
      <c r="C3" s="122" t="s">
        <v>558</v>
      </c>
      <c r="D3" s="159"/>
      <c r="E3" s="123" t="s">
        <v>529</v>
      </c>
      <c r="F3" s="122"/>
      <c r="G3" s="123" t="s">
        <v>530</v>
      </c>
      <c r="H3" s="122"/>
      <c r="I3" s="145" t="s">
        <v>861</v>
      </c>
      <c r="J3" s="159"/>
      <c r="K3" s="122" t="s">
        <v>128</v>
      </c>
      <c r="L3" s="159"/>
      <c r="M3" s="122" t="s">
        <v>557</v>
      </c>
      <c r="N3" s="159"/>
      <c r="O3" s="159">
        <v>2016</v>
      </c>
      <c r="P3" s="162" t="s">
        <v>750</v>
      </c>
      <c r="Q3" s="159">
        <v>13</v>
      </c>
      <c r="R3" s="159"/>
      <c r="S3" s="140">
        <f>13*850</f>
        <v>11050</v>
      </c>
      <c r="T3" s="159"/>
      <c r="U3" s="149">
        <v>10</v>
      </c>
      <c r="V3" s="159"/>
      <c r="W3" s="153">
        <f>(4*500)+(6*850)</f>
        <v>7100</v>
      </c>
      <c r="X3" s="159"/>
      <c r="Y3" s="213">
        <v>18</v>
      </c>
      <c r="Z3" s="159"/>
      <c r="AA3" s="140">
        <f>(7*500)+(4*850)+(7*250)</f>
        <v>8650</v>
      </c>
      <c r="AB3" s="159"/>
      <c r="AC3" s="149">
        <v>15</v>
      </c>
      <c r="AD3" s="159"/>
      <c r="AE3" s="153">
        <f>(3*850)+(5*550)+(6*250)</f>
        <v>6800</v>
      </c>
      <c r="AF3" s="149">
        <v>17</v>
      </c>
      <c r="AG3" s="159"/>
      <c r="AH3" s="153">
        <f>(2*950)+(2*850)+(4*600)+(4*500)+(5*250)</f>
        <v>9250</v>
      </c>
      <c r="AI3" s="122">
        <v>3</v>
      </c>
      <c r="AJ3" s="159"/>
      <c r="AK3" s="140">
        <v>2550</v>
      </c>
      <c r="AL3" s="122">
        <v>2</v>
      </c>
      <c r="AM3" s="159"/>
      <c r="AN3" s="140">
        <v>1700</v>
      </c>
      <c r="AO3" s="295"/>
      <c r="AP3" s="295"/>
      <c r="AQ3" s="295"/>
      <c r="AR3" s="295"/>
      <c r="AS3" s="295"/>
      <c r="AT3" s="295"/>
      <c r="AU3" s="315" t="s">
        <v>797</v>
      </c>
    </row>
    <row r="4" spans="1:47" ht="46.15" customHeight="1" x14ac:dyDescent="0.2">
      <c r="A4" s="305" t="s">
        <v>528</v>
      </c>
      <c r="B4" s="121"/>
      <c r="C4" s="122" t="s">
        <v>558</v>
      </c>
      <c r="D4" s="159"/>
      <c r="E4" s="123" t="s">
        <v>567</v>
      </c>
      <c r="F4" s="122"/>
      <c r="G4" s="123" t="s">
        <v>536</v>
      </c>
      <c r="H4" s="122"/>
      <c r="I4" s="145">
        <v>135</v>
      </c>
      <c r="J4" s="159"/>
      <c r="K4" s="122" t="s">
        <v>117</v>
      </c>
      <c r="L4" s="159"/>
      <c r="M4" s="122" t="s">
        <v>557</v>
      </c>
      <c r="N4" s="159"/>
      <c r="O4" s="159">
        <v>2016</v>
      </c>
      <c r="P4" s="162" t="s">
        <v>750</v>
      </c>
      <c r="Q4" s="159">
        <v>29</v>
      </c>
      <c r="R4" s="159"/>
      <c r="S4" s="140">
        <f>29*135</f>
        <v>3915</v>
      </c>
      <c r="T4" s="159"/>
      <c r="U4" s="149">
        <v>0</v>
      </c>
      <c r="V4" s="159"/>
      <c r="W4" s="153">
        <v>0</v>
      </c>
      <c r="X4" s="159"/>
      <c r="Y4" s="213">
        <v>40</v>
      </c>
      <c r="Z4" s="159"/>
      <c r="AA4" s="140">
        <f>40*135</f>
        <v>5400</v>
      </c>
      <c r="AB4" s="159"/>
      <c r="AC4" s="149">
        <v>0</v>
      </c>
      <c r="AD4" s="159"/>
      <c r="AE4" s="153">
        <v>0</v>
      </c>
      <c r="AF4" s="149">
        <v>0</v>
      </c>
      <c r="AG4" s="159"/>
      <c r="AH4" s="153">
        <v>0</v>
      </c>
      <c r="AI4" s="122">
        <v>0</v>
      </c>
      <c r="AJ4" s="159"/>
      <c r="AK4" s="140"/>
      <c r="AL4" s="122">
        <v>0</v>
      </c>
      <c r="AM4" s="159"/>
      <c r="AN4" s="140"/>
      <c r="AO4" s="295"/>
      <c r="AP4" s="295"/>
      <c r="AQ4" s="295"/>
      <c r="AR4" s="295"/>
      <c r="AS4" s="295"/>
      <c r="AT4" s="295"/>
      <c r="AU4" s="315" t="s">
        <v>797</v>
      </c>
    </row>
    <row r="5" spans="1:47" ht="46.15" customHeight="1" x14ac:dyDescent="0.2">
      <c r="A5" s="305" t="s">
        <v>528</v>
      </c>
      <c r="B5" s="121"/>
      <c r="C5" s="122" t="s">
        <v>558</v>
      </c>
      <c r="D5" s="159"/>
      <c r="E5" s="123" t="s">
        <v>568</v>
      </c>
      <c r="F5" s="122"/>
      <c r="G5" s="123" t="s">
        <v>536</v>
      </c>
      <c r="H5" s="122"/>
      <c r="I5" s="145">
        <v>100</v>
      </c>
      <c r="J5" s="159"/>
      <c r="K5" s="122" t="s">
        <v>117</v>
      </c>
      <c r="L5" s="159"/>
      <c r="M5" s="122" t="s">
        <v>557</v>
      </c>
      <c r="N5" s="159"/>
      <c r="O5" s="159">
        <v>2016</v>
      </c>
      <c r="P5" s="162" t="s">
        <v>750</v>
      </c>
      <c r="Q5" s="159">
        <v>11</v>
      </c>
      <c r="R5" s="159"/>
      <c r="S5" s="140">
        <f>11*100</f>
        <v>1100</v>
      </c>
      <c r="T5" s="159"/>
      <c r="U5" s="149">
        <v>0</v>
      </c>
      <c r="V5" s="159"/>
      <c r="W5" s="153">
        <v>0</v>
      </c>
      <c r="X5" s="159"/>
      <c r="Y5" s="213">
        <v>0</v>
      </c>
      <c r="Z5" s="159">
        <v>0</v>
      </c>
      <c r="AA5" s="140">
        <v>0</v>
      </c>
      <c r="AB5" s="159"/>
      <c r="AC5" s="149">
        <v>0</v>
      </c>
      <c r="AD5" s="159"/>
      <c r="AE5" s="153">
        <v>0</v>
      </c>
      <c r="AF5" s="149">
        <v>0</v>
      </c>
      <c r="AG5" s="159"/>
      <c r="AH5" s="153">
        <v>0</v>
      </c>
      <c r="AI5" s="122">
        <v>0</v>
      </c>
      <c r="AJ5" s="159"/>
      <c r="AK5" s="140"/>
      <c r="AL5" s="122">
        <v>0</v>
      </c>
      <c r="AM5" s="159"/>
      <c r="AN5" s="140"/>
      <c r="AO5" s="295"/>
      <c r="AP5" s="295"/>
      <c r="AQ5" s="295"/>
      <c r="AR5" s="295"/>
      <c r="AS5" s="295"/>
      <c r="AT5" s="295"/>
      <c r="AU5" s="315" t="s">
        <v>797</v>
      </c>
    </row>
    <row r="6" spans="1:47" ht="46.15" customHeight="1" x14ac:dyDescent="0.2">
      <c r="A6" s="305" t="s">
        <v>528</v>
      </c>
      <c r="B6" s="121"/>
      <c r="C6" s="122" t="s">
        <v>558</v>
      </c>
      <c r="D6" s="159"/>
      <c r="E6" s="123" t="s">
        <v>569</v>
      </c>
      <c r="F6" s="122"/>
      <c r="G6" s="123" t="s">
        <v>536</v>
      </c>
      <c r="H6" s="122"/>
      <c r="I6" s="145" t="s">
        <v>856</v>
      </c>
      <c r="J6" s="159"/>
      <c r="K6" s="122" t="s">
        <v>117</v>
      </c>
      <c r="L6" s="159"/>
      <c r="M6" s="122" t="s">
        <v>557</v>
      </c>
      <c r="N6" s="159"/>
      <c r="O6" s="159">
        <v>2016</v>
      </c>
      <c r="P6" s="162" t="s">
        <v>750</v>
      </c>
      <c r="Q6" s="159">
        <v>7</v>
      </c>
      <c r="R6" s="159"/>
      <c r="S6" s="140">
        <f>7*170</f>
        <v>1190</v>
      </c>
      <c r="T6" s="159"/>
      <c r="U6" s="149">
        <v>0</v>
      </c>
      <c r="V6" s="159"/>
      <c r="W6" s="153">
        <v>0</v>
      </c>
      <c r="X6" s="159"/>
      <c r="Y6" s="213">
        <v>14</v>
      </c>
      <c r="Z6" s="159"/>
      <c r="AA6" s="140">
        <f>14*180</f>
        <v>2520</v>
      </c>
      <c r="AB6" s="159"/>
      <c r="AC6" s="149">
        <v>0</v>
      </c>
      <c r="AD6" s="159"/>
      <c r="AE6" s="153">
        <v>0</v>
      </c>
      <c r="AF6" s="149">
        <v>0</v>
      </c>
      <c r="AG6" s="159"/>
      <c r="AH6" s="153">
        <v>0</v>
      </c>
      <c r="AI6" s="122">
        <v>12</v>
      </c>
      <c r="AJ6" s="159"/>
      <c r="AK6" s="140">
        <v>3000</v>
      </c>
      <c r="AL6" s="122">
        <v>9</v>
      </c>
      <c r="AM6" s="159">
        <v>2250</v>
      </c>
      <c r="AN6" s="140">
        <v>2250</v>
      </c>
      <c r="AO6" s="373"/>
      <c r="AP6" s="373"/>
      <c r="AQ6" s="373"/>
      <c r="AR6" s="373"/>
      <c r="AS6" s="373"/>
      <c r="AT6" s="373"/>
      <c r="AU6" s="374" t="s">
        <v>797</v>
      </c>
    </row>
    <row r="7" spans="1:47" ht="46.15" customHeight="1" x14ac:dyDescent="0.2">
      <c r="A7" s="305" t="s">
        <v>528</v>
      </c>
      <c r="B7" s="121"/>
      <c r="C7" s="122" t="s">
        <v>558</v>
      </c>
      <c r="D7" s="159"/>
      <c r="E7" s="123" t="s">
        <v>570</v>
      </c>
      <c r="F7" s="122"/>
      <c r="G7" s="123" t="s">
        <v>536</v>
      </c>
      <c r="H7" s="122"/>
      <c r="I7" s="145">
        <v>275</v>
      </c>
      <c r="J7" s="159"/>
      <c r="K7" s="122" t="s">
        <v>117</v>
      </c>
      <c r="L7" s="159"/>
      <c r="M7" s="122" t="s">
        <v>557</v>
      </c>
      <c r="N7" s="159"/>
      <c r="O7" s="159">
        <v>2016</v>
      </c>
      <c r="P7" s="162" t="s">
        <v>750</v>
      </c>
      <c r="Q7" s="159">
        <v>6</v>
      </c>
      <c r="R7" s="159"/>
      <c r="S7" s="140">
        <f>6*275</f>
        <v>1650</v>
      </c>
      <c r="T7" s="159"/>
      <c r="U7" s="149">
        <v>0</v>
      </c>
      <c r="V7" s="159"/>
      <c r="W7" s="153">
        <v>0</v>
      </c>
      <c r="X7" s="159"/>
      <c r="Y7" s="213">
        <v>0</v>
      </c>
      <c r="Z7" s="159"/>
      <c r="AA7" s="140">
        <v>0</v>
      </c>
      <c r="AB7" s="159"/>
      <c r="AC7" s="149">
        <v>8</v>
      </c>
      <c r="AD7" s="159"/>
      <c r="AE7" s="153">
        <f>8*275</f>
        <v>2200</v>
      </c>
      <c r="AF7" s="149">
        <v>10</v>
      </c>
      <c r="AG7" s="159"/>
      <c r="AH7" s="153">
        <f>10*275</f>
        <v>2750</v>
      </c>
      <c r="AI7" s="122">
        <v>0</v>
      </c>
      <c r="AJ7" s="159"/>
      <c r="AK7" s="140"/>
      <c r="AL7" s="122">
        <v>2</v>
      </c>
      <c r="AM7" s="159">
        <v>550</v>
      </c>
      <c r="AN7" s="140">
        <v>550</v>
      </c>
      <c r="AO7" s="295"/>
      <c r="AP7" s="295"/>
      <c r="AQ7" s="295"/>
      <c r="AR7" s="295"/>
      <c r="AS7" s="295"/>
      <c r="AT7" s="295"/>
      <c r="AU7" s="315" t="s">
        <v>797</v>
      </c>
    </row>
    <row r="8" spans="1:47" ht="46.15" customHeight="1" x14ac:dyDescent="0.2">
      <c r="A8" s="305" t="s">
        <v>528</v>
      </c>
      <c r="B8" s="121"/>
      <c r="C8" s="122" t="s">
        <v>558</v>
      </c>
      <c r="D8" s="159"/>
      <c r="E8" s="123" t="s">
        <v>532</v>
      </c>
      <c r="F8" s="122"/>
      <c r="G8" s="123" t="s">
        <v>536</v>
      </c>
      <c r="H8" s="122"/>
      <c r="I8" s="145">
        <v>130</v>
      </c>
      <c r="J8" s="159"/>
      <c r="K8" s="122" t="s">
        <v>117</v>
      </c>
      <c r="L8" s="159"/>
      <c r="M8" s="122" t="s">
        <v>557</v>
      </c>
      <c r="N8" s="159"/>
      <c r="O8" s="159">
        <v>2016</v>
      </c>
      <c r="P8" s="162" t="s">
        <v>750</v>
      </c>
      <c r="Q8" s="159">
        <v>14</v>
      </c>
      <c r="R8" s="159"/>
      <c r="S8" s="140">
        <f>14*130</f>
        <v>1820</v>
      </c>
      <c r="T8" s="159"/>
      <c r="U8" s="148">
        <v>11</v>
      </c>
      <c r="V8" s="159"/>
      <c r="W8" s="153">
        <f>11*130</f>
        <v>1430</v>
      </c>
      <c r="X8" s="159"/>
      <c r="Y8" s="213">
        <v>0</v>
      </c>
      <c r="Z8" s="159"/>
      <c r="AA8" s="140">
        <v>0</v>
      </c>
      <c r="AB8" s="159"/>
      <c r="AC8" s="148">
        <v>0</v>
      </c>
      <c r="AD8" s="159"/>
      <c r="AE8" s="153">
        <v>0</v>
      </c>
      <c r="AF8" s="148">
        <v>0</v>
      </c>
      <c r="AG8" s="159"/>
      <c r="AH8" s="153">
        <v>0</v>
      </c>
      <c r="AI8" s="159">
        <v>0</v>
      </c>
      <c r="AJ8" s="159"/>
      <c r="AK8" s="140">
        <v>0</v>
      </c>
      <c r="AL8" s="159">
        <v>0</v>
      </c>
      <c r="AM8" s="159"/>
      <c r="AN8" s="140"/>
      <c r="AU8" s="155" t="s">
        <v>797</v>
      </c>
    </row>
    <row r="9" spans="1:47" ht="46.15" customHeight="1" x14ac:dyDescent="0.2">
      <c r="A9" s="305" t="s">
        <v>528</v>
      </c>
      <c r="B9" s="121"/>
      <c r="C9" s="122" t="s">
        <v>558</v>
      </c>
      <c r="D9" s="159"/>
      <c r="E9" s="123" t="s">
        <v>571</v>
      </c>
      <c r="F9" s="122"/>
      <c r="G9" s="123" t="s">
        <v>536</v>
      </c>
      <c r="H9" s="122"/>
      <c r="I9" s="145">
        <v>170</v>
      </c>
      <c r="J9" s="159"/>
      <c r="K9" s="122" t="s">
        <v>117</v>
      </c>
      <c r="L9" s="159"/>
      <c r="M9" s="122" t="s">
        <v>557</v>
      </c>
      <c r="N9" s="159"/>
      <c r="O9" s="159">
        <v>2016</v>
      </c>
      <c r="P9" s="162" t="s">
        <v>750</v>
      </c>
      <c r="Q9" s="159">
        <v>4</v>
      </c>
      <c r="R9" s="159"/>
      <c r="S9" s="140">
        <f>4*170</f>
        <v>680</v>
      </c>
      <c r="T9" s="159"/>
      <c r="U9" s="148">
        <v>0</v>
      </c>
      <c r="V9" s="159"/>
      <c r="W9" s="153">
        <v>0</v>
      </c>
      <c r="X9" s="159"/>
      <c r="Y9" s="213">
        <v>0</v>
      </c>
      <c r="Z9" s="159"/>
      <c r="AA9" s="140">
        <v>0</v>
      </c>
      <c r="AB9" s="159"/>
      <c r="AC9" s="148">
        <v>0</v>
      </c>
      <c r="AD9" s="159"/>
      <c r="AE9" s="153">
        <v>0</v>
      </c>
      <c r="AF9" s="148">
        <v>0</v>
      </c>
      <c r="AG9" s="159"/>
      <c r="AH9" s="153">
        <v>0</v>
      </c>
      <c r="AI9" s="159">
        <v>0</v>
      </c>
      <c r="AJ9" s="159"/>
      <c r="AK9" s="140"/>
      <c r="AL9" s="159">
        <v>0</v>
      </c>
      <c r="AM9" s="159"/>
      <c r="AN9" s="140"/>
      <c r="AO9" s="295"/>
      <c r="AP9" s="295"/>
      <c r="AQ9" s="295"/>
      <c r="AR9" s="295"/>
      <c r="AS9" s="295"/>
      <c r="AT9" s="295"/>
      <c r="AU9" s="315" t="s">
        <v>797</v>
      </c>
    </row>
    <row r="10" spans="1:47" ht="46.15" customHeight="1" x14ac:dyDescent="0.2">
      <c r="A10" s="305" t="s">
        <v>528</v>
      </c>
      <c r="B10" s="121"/>
      <c r="C10" s="122" t="s">
        <v>558</v>
      </c>
      <c r="D10" s="159"/>
      <c r="E10" s="123" t="s">
        <v>572</v>
      </c>
      <c r="F10" s="122"/>
      <c r="G10" s="123" t="s">
        <v>536</v>
      </c>
      <c r="H10" s="122"/>
      <c r="I10" s="145">
        <v>275</v>
      </c>
      <c r="J10" s="159"/>
      <c r="K10" s="122" t="s">
        <v>117</v>
      </c>
      <c r="L10" s="159"/>
      <c r="M10" s="122" t="s">
        <v>557</v>
      </c>
      <c r="N10" s="159"/>
      <c r="O10" s="159">
        <v>2016</v>
      </c>
      <c r="P10" s="162" t="s">
        <v>750</v>
      </c>
      <c r="Q10" s="159">
        <v>29</v>
      </c>
      <c r="R10" s="159"/>
      <c r="S10" s="140">
        <f>29*275</f>
        <v>7975</v>
      </c>
      <c r="T10" s="159"/>
      <c r="U10" s="148">
        <v>28</v>
      </c>
      <c r="V10" s="159"/>
      <c r="W10" s="153">
        <f>28*275</f>
        <v>7700</v>
      </c>
      <c r="X10" s="159"/>
      <c r="Y10" s="213">
        <v>30</v>
      </c>
      <c r="Z10" s="159"/>
      <c r="AA10" s="140">
        <f>30*275</f>
        <v>8250</v>
      </c>
      <c r="AB10" s="159"/>
      <c r="AC10" s="148">
        <v>30</v>
      </c>
      <c r="AD10" s="159"/>
      <c r="AE10" s="153">
        <f>30*300</f>
        <v>9000</v>
      </c>
      <c r="AF10" s="148">
        <v>44</v>
      </c>
      <c r="AG10" s="159"/>
      <c r="AH10" s="153">
        <f>(34*275)+(10*300)</f>
        <v>12350</v>
      </c>
      <c r="AI10" s="159">
        <v>70</v>
      </c>
      <c r="AJ10" s="159"/>
      <c r="AK10" s="140">
        <v>28000</v>
      </c>
      <c r="AL10" s="159">
        <v>27</v>
      </c>
      <c r="AM10" s="159"/>
      <c r="AN10" s="140">
        <v>10800</v>
      </c>
      <c r="AU10" s="155" t="s">
        <v>797</v>
      </c>
    </row>
    <row r="11" spans="1:47" ht="46.15" customHeight="1" x14ac:dyDescent="0.2">
      <c r="A11" s="305" t="s">
        <v>528</v>
      </c>
      <c r="B11" s="121"/>
      <c r="C11" s="122" t="s">
        <v>558</v>
      </c>
      <c r="D11" s="159"/>
      <c r="E11" s="123" t="s">
        <v>573</v>
      </c>
      <c r="F11" s="122"/>
      <c r="G11" s="123" t="s">
        <v>536</v>
      </c>
      <c r="H11" s="122"/>
      <c r="I11" s="145" t="s">
        <v>857</v>
      </c>
      <c r="J11" s="159"/>
      <c r="K11" s="122" t="s">
        <v>117</v>
      </c>
      <c r="L11" s="159"/>
      <c r="M11" s="122" t="s">
        <v>557</v>
      </c>
      <c r="N11" s="159"/>
      <c r="O11" s="159">
        <v>2016</v>
      </c>
      <c r="P11" s="162" t="s">
        <v>750</v>
      </c>
      <c r="Q11" s="159">
        <v>43</v>
      </c>
      <c r="R11" s="159"/>
      <c r="S11" s="140">
        <f>43*550</f>
        <v>23650</v>
      </c>
      <c r="T11" s="159"/>
      <c r="U11" s="148">
        <v>48</v>
      </c>
      <c r="V11" s="159"/>
      <c r="W11" s="153">
        <f>48*550</f>
        <v>26400</v>
      </c>
      <c r="X11" s="159"/>
      <c r="Y11" s="213">
        <v>41</v>
      </c>
      <c r="Z11" s="159"/>
      <c r="AA11" s="140">
        <f>41*575</f>
        <v>23575</v>
      </c>
      <c r="AB11" s="159"/>
      <c r="AC11" s="148">
        <v>94</v>
      </c>
      <c r="AD11" s="159"/>
      <c r="AE11" s="153">
        <f>94*575</f>
        <v>54050</v>
      </c>
      <c r="AF11" s="148">
        <v>33</v>
      </c>
      <c r="AG11" s="159"/>
      <c r="AH11" s="153">
        <f>33*575</f>
        <v>18975</v>
      </c>
      <c r="AI11" s="159">
        <v>43</v>
      </c>
      <c r="AJ11" s="159"/>
      <c r="AK11" s="140">
        <v>24725</v>
      </c>
      <c r="AL11" s="159">
        <v>49</v>
      </c>
      <c r="AM11" s="159"/>
      <c r="AN11" s="140">
        <v>28175</v>
      </c>
      <c r="AO11" s="295"/>
      <c r="AP11" s="295"/>
      <c r="AQ11" s="295"/>
      <c r="AR11" s="295"/>
      <c r="AS11" s="295"/>
      <c r="AT11" s="295"/>
      <c r="AU11" s="315" t="s">
        <v>797</v>
      </c>
    </row>
    <row r="12" spans="1:47" ht="46.15" customHeight="1" x14ac:dyDescent="0.2">
      <c r="A12" s="305"/>
      <c r="B12" s="121"/>
      <c r="C12" s="122"/>
      <c r="D12" s="159"/>
      <c r="E12" s="123" t="s">
        <v>708</v>
      </c>
      <c r="F12" s="122"/>
      <c r="G12" s="123" t="s">
        <v>536</v>
      </c>
      <c r="H12" s="122"/>
      <c r="I12" s="145">
        <v>695</v>
      </c>
      <c r="J12" s="159"/>
      <c r="K12" s="122" t="s">
        <v>117</v>
      </c>
      <c r="L12" s="159"/>
      <c r="M12" s="122" t="s">
        <v>557</v>
      </c>
      <c r="N12" s="159"/>
      <c r="O12" s="159">
        <v>2016</v>
      </c>
      <c r="P12" s="162" t="s">
        <v>750</v>
      </c>
      <c r="Q12" s="159">
        <v>0</v>
      </c>
      <c r="R12" s="159"/>
      <c r="S12" s="140">
        <v>0</v>
      </c>
      <c r="T12" s="159"/>
      <c r="U12" s="148">
        <v>0</v>
      </c>
      <c r="V12" s="159"/>
      <c r="W12" s="153">
        <v>0</v>
      </c>
      <c r="X12" s="159"/>
      <c r="Y12" s="213">
        <v>0</v>
      </c>
      <c r="Z12" s="159"/>
      <c r="AA12" s="140">
        <v>0</v>
      </c>
      <c r="AB12" s="159"/>
      <c r="AC12" s="148">
        <v>28</v>
      </c>
      <c r="AD12" s="159"/>
      <c r="AE12" s="153">
        <f>28*695</f>
        <v>19460</v>
      </c>
      <c r="AF12" s="148">
        <v>0</v>
      </c>
      <c r="AG12" s="159"/>
      <c r="AH12" s="153">
        <v>0</v>
      </c>
      <c r="AI12" s="159">
        <v>0</v>
      </c>
      <c r="AJ12" s="159"/>
      <c r="AK12" s="140"/>
      <c r="AL12" s="159">
        <v>0</v>
      </c>
      <c r="AM12" s="159"/>
      <c r="AN12" s="140"/>
      <c r="AU12" s="155" t="s">
        <v>797</v>
      </c>
    </row>
    <row r="13" spans="1:47" ht="46.15" customHeight="1" x14ac:dyDescent="0.2">
      <c r="A13" s="305" t="s">
        <v>528</v>
      </c>
      <c r="B13" s="121"/>
      <c r="C13" s="122" t="s">
        <v>558</v>
      </c>
      <c r="D13" s="159"/>
      <c r="E13" s="123" t="s">
        <v>574</v>
      </c>
      <c r="F13" s="122"/>
      <c r="G13" s="123" t="s">
        <v>536</v>
      </c>
      <c r="H13" s="122"/>
      <c r="I13" s="145" t="s">
        <v>575</v>
      </c>
      <c r="J13" s="159"/>
      <c r="K13" s="122" t="s">
        <v>117</v>
      </c>
      <c r="L13" s="159"/>
      <c r="M13" s="122" t="s">
        <v>557</v>
      </c>
      <c r="N13" s="159"/>
      <c r="O13" s="159">
        <v>2016</v>
      </c>
      <c r="P13" s="162" t="s">
        <v>750</v>
      </c>
      <c r="Q13" s="159">
        <v>0</v>
      </c>
      <c r="R13" s="159"/>
      <c r="S13" s="140">
        <v>0</v>
      </c>
      <c r="T13" s="159"/>
      <c r="U13" s="148">
        <v>50</v>
      </c>
      <c r="V13" s="159"/>
      <c r="W13" s="153">
        <f>50*275</f>
        <v>13750</v>
      </c>
      <c r="X13" s="159"/>
      <c r="Y13" s="213">
        <v>46</v>
      </c>
      <c r="Z13" s="159"/>
      <c r="AA13" s="140">
        <f>46*200</f>
        <v>9200</v>
      </c>
      <c r="AB13" s="159"/>
      <c r="AC13" s="148">
        <v>48</v>
      </c>
      <c r="AD13" s="159"/>
      <c r="AE13" s="153">
        <f>48*400</f>
        <v>19200</v>
      </c>
      <c r="AF13" s="148">
        <v>49</v>
      </c>
      <c r="AG13" s="159"/>
      <c r="AH13" s="153">
        <f>49*400</f>
        <v>19600</v>
      </c>
      <c r="AI13" s="159">
        <v>77</v>
      </c>
      <c r="AJ13" s="159"/>
      <c r="AK13" s="140">
        <v>30800</v>
      </c>
      <c r="AL13" s="159">
        <v>20</v>
      </c>
      <c r="AM13" s="159"/>
      <c r="AN13" s="140">
        <v>8000</v>
      </c>
      <c r="AO13" s="295"/>
      <c r="AP13" s="295"/>
      <c r="AQ13" s="295"/>
      <c r="AR13" s="295"/>
      <c r="AS13" s="295"/>
      <c r="AT13" s="295"/>
      <c r="AU13" s="315" t="s">
        <v>797</v>
      </c>
    </row>
    <row r="14" spans="1:47" ht="46.15" customHeight="1" x14ac:dyDescent="0.2">
      <c r="A14" s="305" t="s">
        <v>528</v>
      </c>
      <c r="B14" s="121"/>
      <c r="C14" s="122" t="s">
        <v>558</v>
      </c>
      <c r="D14" s="159"/>
      <c r="E14" s="123" t="s">
        <v>576</v>
      </c>
      <c r="F14" s="122"/>
      <c r="G14" s="123" t="s">
        <v>536</v>
      </c>
      <c r="H14" s="122"/>
      <c r="I14" s="145">
        <v>475</v>
      </c>
      <c r="J14" s="159"/>
      <c r="K14" s="122" t="s">
        <v>117</v>
      </c>
      <c r="L14" s="159"/>
      <c r="M14" s="122" t="s">
        <v>557</v>
      </c>
      <c r="N14" s="159"/>
      <c r="O14" s="159">
        <v>2016</v>
      </c>
      <c r="P14" s="162" t="s">
        <v>750</v>
      </c>
      <c r="Q14" s="159">
        <v>12</v>
      </c>
      <c r="R14" s="159"/>
      <c r="S14" s="140">
        <f>12*475</f>
        <v>5700</v>
      </c>
      <c r="T14" s="159"/>
      <c r="U14" s="148">
        <v>0</v>
      </c>
      <c r="V14" s="159"/>
      <c r="W14" s="153">
        <v>0</v>
      </c>
      <c r="X14" s="159"/>
      <c r="Y14" s="213">
        <v>8</v>
      </c>
      <c r="Z14" s="159"/>
      <c r="AA14" s="140">
        <f>8*475</f>
        <v>3800</v>
      </c>
      <c r="AB14" s="159"/>
      <c r="AC14" s="148">
        <v>0</v>
      </c>
      <c r="AD14" s="159"/>
      <c r="AE14" s="153">
        <v>0</v>
      </c>
      <c r="AF14" s="148">
        <v>16</v>
      </c>
      <c r="AG14" s="159"/>
      <c r="AH14" s="153">
        <f>16*475</f>
        <v>7600</v>
      </c>
      <c r="AI14" s="159">
        <v>10</v>
      </c>
      <c r="AJ14" s="159"/>
      <c r="AK14" s="140">
        <v>4750</v>
      </c>
      <c r="AL14" s="159">
        <v>11</v>
      </c>
      <c r="AM14" s="159"/>
      <c r="AN14" s="140">
        <v>5225</v>
      </c>
      <c r="AU14" s="155" t="s">
        <v>797</v>
      </c>
    </row>
    <row r="15" spans="1:47" ht="46.15" customHeight="1" x14ac:dyDescent="0.2">
      <c r="A15" s="305" t="s">
        <v>528</v>
      </c>
      <c r="B15" s="121"/>
      <c r="C15" s="122" t="s">
        <v>558</v>
      </c>
      <c r="D15" s="159"/>
      <c r="E15" s="123" t="s">
        <v>577</v>
      </c>
      <c r="F15" s="122"/>
      <c r="G15" s="123" t="s">
        <v>536</v>
      </c>
      <c r="H15" s="122"/>
      <c r="I15" s="145">
        <v>150</v>
      </c>
      <c r="J15" s="159"/>
      <c r="K15" s="122" t="s">
        <v>117</v>
      </c>
      <c r="L15" s="159"/>
      <c r="M15" s="122" t="s">
        <v>557</v>
      </c>
      <c r="N15" s="159"/>
      <c r="O15" s="159">
        <v>2016</v>
      </c>
      <c r="P15" s="162" t="s">
        <v>750</v>
      </c>
      <c r="Q15" s="159">
        <v>12</v>
      </c>
      <c r="R15" s="159"/>
      <c r="S15" s="140">
        <f>12*150</f>
        <v>1800</v>
      </c>
      <c r="T15" s="159"/>
      <c r="U15" s="148">
        <v>11</v>
      </c>
      <c r="V15" s="159"/>
      <c r="W15" s="153">
        <f>11*150</f>
        <v>1650</v>
      </c>
      <c r="X15" s="159"/>
      <c r="Y15" s="213">
        <v>0</v>
      </c>
      <c r="Z15" s="159"/>
      <c r="AA15" s="140">
        <v>0</v>
      </c>
      <c r="AB15" s="159"/>
      <c r="AC15" s="148">
        <v>14</v>
      </c>
      <c r="AD15" s="159"/>
      <c r="AE15" s="153">
        <f>14*150</f>
        <v>2100</v>
      </c>
      <c r="AF15" s="148">
        <v>11</v>
      </c>
      <c r="AG15" s="159"/>
      <c r="AH15" s="153">
        <f>11*150</f>
        <v>1650</v>
      </c>
      <c r="AI15" s="159">
        <v>17</v>
      </c>
      <c r="AJ15" s="159"/>
      <c r="AK15" s="140">
        <v>2550</v>
      </c>
      <c r="AL15" s="159">
        <v>0</v>
      </c>
      <c r="AM15" s="159"/>
      <c r="AN15" s="140"/>
      <c r="AO15" s="295"/>
      <c r="AP15" s="295"/>
      <c r="AQ15" s="295"/>
      <c r="AR15" s="295"/>
      <c r="AS15" s="295"/>
      <c r="AT15" s="295"/>
      <c r="AU15" s="315" t="s">
        <v>797</v>
      </c>
    </row>
    <row r="16" spans="1:47" ht="46.15" customHeight="1" x14ac:dyDescent="0.2">
      <c r="A16" s="305" t="s">
        <v>528</v>
      </c>
      <c r="B16" s="121"/>
      <c r="C16" s="122" t="s">
        <v>558</v>
      </c>
      <c r="D16" s="159"/>
      <c r="E16" s="123" t="s">
        <v>578</v>
      </c>
      <c r="F16" s="122"/>
      <c r="G16" s="123" t="s">
        <v>536</v>
      </c>
      <c r="H16" s="122"/>
      <c r="I16" s="145">
        <v>150</v>
      </c>
      <c r="J16" s="159"/>
      <c r="K16" s="122" t="s">
        <v>117</v>
      </c>
      <c r="L16" s="159"/>
      <c r="M16" s="122" t="s">
        <v>557</v>
      </c>
      <c r="N16" s="159"/>
      <c r="O16" s="159">
        <v>2016</v>
      </c>
      <c r="P16" s="162" t="s">
        <v>750</v>
      </c>
      <c r="Q16" s="159">
        <v>1</v>
      </c>
      <c r="R16" s="159"/>
      <c r="S16" s="140">
        <f>1*150</f>
        <v>150</v>
      </c>
      <c r="T16" s="159"/>
      <c r="U16" s="148">
        <v>0</v>
      </c>
      <c r="V16" s="159"/>
      <c r="W16" s="153">
        <v>0</v>
      </c>
      <c r="X16" s="159"/>
      <c r="Y16" s="213">
        <v>0</v>
      </c>
      <c r="Z16" s="159"/>
      <c r="AA16" s="140">
        <v>0</v>
      </c>
      <c r="AB16" s="159"/>
      <c r="AC16" s="148">
        <v>0</v>
      </c>
      <c r="AD16" s="159"/>
      <c r="AE16" s="153">
        <v>0</v>
      </c>
      <c r="AF16" s="148">
        <v>0</v>
      </c>
      <c r="AG16" s="159"/>
      <c r="AH16" s="153">
        <v>0</v>
      </c>
      <c r="AI16" s="159">
        <v>0</v>
      </c>
      <c r="AJ16" s="159"/>
      <c r="AK16" s="140">
        <v>0</v>
      </c>
      <c r="AL16" s="159">
        <v>0</v>
      </c>
      <c r="AM16" s="159"/>
      <c r="AN16" s="140"/>
      <c r="AU16" s="155" t="s">
        <v>797</v>
      </c>
    </row>
    <row r="17" spans="1:47" ht="46.15" customHeight="1" x14ac:dyDescent="0.2">
      <c r="A17" s="305" t="s">
        <v>528</v>
      </c>
      <c r="B17" s="121"/>
      <c r="C17" s="122" t="s">
        <v>558</v>
      </c>
      <c r="D17" s="159"/>
      <c r="E17" s="123" t="s">
        <v>579</v>
      </c>
      <c r="F17" s="122"/>
      <c r="G17" s="123" t="s">
        <v>536</v>
      </c>
      <c r="H17" s="122"/>
      <c r="I17" s="145" t="s">
        <v>858</v>
      </c>
      <c r="J17" s="159"/>
      <c r="K17" s="122" t="s">
        <v>117</v>
      </c>
      <c r="L17" s="159"/>
      <c r="M17" s="122" t="s">
        <v>557</v>
      </c>
      <c r="N17" s="159"/>
      <c r="O17" s="159">
        <v>2016</v>
      </c>
      <c r="P17" s="162" t="s">
        <v>750</v>
      </c>
      <c r="Q17" s="159">
        <v>15</v>
      </c>
      <c r="R17" s="159"/>
      <c r="S17" s="140">
        <f>15*475</f>
        <v>7125</v>
      </c>
      <c r="T17" s="159"/>
      <c r="U17" s="148">
        <v>26</v>
      </c>
      <c r="V17" s="159"/>
      <c r="W17" s="153">
        <f>26*475</f>
        <v>12350</v>
      </c>
      <c r="X17" s="159"/>
      <c r="Y17" s="213">
        <v>29</v>
      </c>
      <c r="Z17" s="159"/>
      <c r="AA17" s="140">
        <f>29*475</f>
        <v>13775</v>
      </c>
      <c r="AB17" s="159"/>
      <c r="AC17" s="148">
        <v>13</v>
      </c>
      <c r="AD17" s="159"/>
      <c r="AE17" s="153">
        <f>13*475</f>
        <v>6175</v>
      </c>
      <c r="AF17" s="148">
        <v>20</v>
      </c>
      <c r="AG17" s="159"/>
      <c r="AH17" s="153">
        <f>20*475</f>
        <v>9500</v>
      </c>
      <c r="AI17" s="159">
        <v>16</v>
      </c>
      <c r="AJ17" s="159"/>
      <c r="AK17" s="140">
        <v>8000</v>
      </c>
      <c r="AL17" s="159">
        <v>16</v>
      </c>
      <c r="AM17" s="159"/>
      <c r="AN17" s="140">
        <v>8000</v>
      </c>
      <c r="AO17" s="295"/>
      <c r="AP17" s="295"/>
      <c r="AQ17" s="295"/>
      <c r="AR17" s="295"/>
      <c r="AS17" s="295"/>
      <c r="AT17" s="295"/>
      <c r="AU17" s="265" t="s">
        <v>797</v>
      </c>
    </row>
    <row r="18" spans="1:47" ht="46.15" customHeight="1" x14ac:dyDescent="0.2">
      <c r="A18" s="305" t="s">
        <v>528</v>
      </c>
      <c r="B18" s="121"/>
      <c r="C18" s="122" t="s">
        <v>558</v>
      </c>
      <c r="D18" s="159"/>
      <c r="E18" s="123" t="s">
        <v>580</v>
      </c>
      <c r="F18" s="122"/>
      <c r="G18" s="123" t="s">
        <v>536</v>
      </c>
      <c r="H18" s="122"/>
      <c r="I18" s="145" t="s">
        <v>581</v>
      </c>
      <c r="J18" s="159"/>
      <c r="K18" s="122" t="s">
        <v>117</v>
      </c>
      <c r="L18" s="159"/>
      <c r="M18" s="122" t="s">
        <v>557</v>
      </c>
      <c r="N18" s="159"/>
      <c r="O18" s="159">
        <v>2016</v>
      </c>
      <c r="P18" s="162" t="s">
        <v>750</v>
      </c>
      <c r="Q18" s="159">
        <v>0</v>
      </c>
      <c r="R18" s="159"/>
      <c r="S18" s="140">
        <v>0</v>
      </c>
      <c r="T18" s="159"/>
      <c r="U18" s="148">
        <v>0</v>
      </c>
      <c r="V18" s="159"/>
      <c r="W18" s="153">
        <v>0</v>
      </c>
      <c r="X18" s="159"/>
      <c r="Y18" s="213">
        <v>0</v>
      </c>
      <c r="Z18" s="159"/>
      <c r="AA18" s="140" t="s">
        <v>707</v>
      </c>
      <c r="AB18" s="159"/>
      <c r="AC18" s="148">
        <v>0</v>
      </c>
      <c r="AD18" s="159"/>
      <c r="AE18" s="153">
        <v>0</v>
      </c>
      <c r="AF18" s="148">
        <v>0</v>
      </c>
      <c r="AG18" s="159"/>
      <c r="AH18" s="153">
        <v>0</v>
      </c>
      <c r="AI18" s="159">
        <v>1</v>
      </c>
      <c r="AJ18" s="159"/>
      <c r="AK18" s="140"/>
      <c r="AL18" s="159">
        <v>0</v>
      </c>
      <c r="AM18" s="159"/>
      <c r="AN18" s="140"/>
      <c r="AU18" s="247" t="s">
        <v>797</v>
      </c>
    </row>
    <row r="19" spans="1:47" ht="46.15" customHeight="1" x14ac:dyDescent="0.2">
      <c r="A19" s="305" t="s">
        <v>528</v>
      </c>
      <c r="B19" s="121"/>
      <c r="C19" s="122" t="s">
        <v>558</v>
      </c>
      <c r="D19" s="159"/>
      <c r="E19" s="123" t="s">
        <v>582</v>
      </c>
      <c r="F19" s="122"/>
      <c r="G19" s="123" t="s">
        <v>536</v>
      </c>
      <c r="H19" s="122"/>
      <c r="I19" s="145" t="s">
        <v>581</v>
      </c>
      <c r="J19" s="159"/>
      <c r="K19" s="122" t="s">
        <v>117</v>
      </c>
      <c r="L19" s="159"/>
      <c r="M19" s="122" t="s">
        <v>557</v>
      </c>
      <c r="N19" s="159"/>
      <c r="O19" s="159">
        <v>2016</v>
      </c>
      <c r="P19" s="162" t="s">
        <v>750</v>
      </c>
      <c r="Q19" s="159">
        <v>0</v>
      </c>
      <c r="R19" s="159"/>
      <c r="S19" s="140">
        <v>0</v>
      </c>
      <c r="T19" s="159"/>
      <c r="U19" s="148">
        <v>0</v>
      </c>
      <c r="V19" s="159"/>
      <c r="W19" s="153">
        <v>0</v>
      </c>
      <c r="X19" s="159"/>
      <c r="Y19" s="213">
        <v>0</v>
      </c>
      <c r="Z19" s="159"/>
      <c r="AA19" s="140" t="s">
        <v>707</v>
      </c>
      <c r="AB19" s="159"/>
      <c r="AC19" s="148">
        <v>0</v>
      </c>
      <c r="AD19" s="159"/>
      <c r="AE19" s="153">
        <v>0</v>
      </c>
      <c r="AF19" s="148">
        <v>0</v>
      </c>
      <c r="AG19" s="159"/>
      <c r="AH19" s="153">
        <v>0</v>
      </c>
      <c r="AI19" s="159">
        <v>0</v>
      </c>
      <c r="AJ19" s="159"/>
      <c r="AK19" s="140"/>
      <c r="AL19" s="159">
        <v>0</v>
      </c>
      <c r="AM19" s="159"/>
      <c r="AN19" s="140"/>
      <c r="AO19" s="295"/>
      <c r="AP19" s="295"/>
      <c r="AQ19" s="295"/>
      <c r="AR19" s="295"/>
      <c r="AS19" s="295"/>
      <c r="AT19" s="295"/>
      <c r="AU19" s="265" t="s">
        <v>797</v>
      </c>
    </row>
    <row r="20" spans="1:47" ht="46.15" customHeight="1" x14ac:dyDescent="0.2">
      <c r="A20" s="305" t="s">
        <v>528</v>
      </c>
      <c r="B20" s="121"/>
      <c r="C20" s="122" t="s">
        <v>558</v>
      </c>
      <c r="D20" s="159"/>
      <c r="E20" s="123" t="s">
        <v>709</v>
      </c>
      <c r="F20" s="122"/>
      <c r="G20" s="123" t="s">
        <v>536</v>
      </c>
      <c r="H20" s="122"/>
      <c r="I20" s="145" t="s">
        <v>583</v>
      </c>
      <c r="J20" s="159"/>
      <c r="K20" s="122" t="s">
        <v>117</v>
      </c>
      <c r="L20" s="159"/>
      <c r="M20" s="122" t="s">
        <v>557</v>
      </c>
      <c r="N20" s="159"/>
      <c r="O20" s="159">
        <v>2016</v>
      </c>
      <c r="P20" s="162" t="s">
        <v>750</v>
      </c>
      <c r="Q20" s="159">
        <v>1</v>
      </c>
      <c r="R20" s="159"/>
      <c r="S20" s="140">
        <f>1*275</f>
        <v>275</v>
      </c>
      <c r="T20" s="159"/>
      <c r="U20" s="148">
        <v>6</v>
      </c>
      <c r="V20" s="159"/>
      <c r="W20" s="153">
        <f>6*15</f>
        <v>90</v>
      </c>
      <c r="X20" s="159"/>
      <c r="Y20" s="213">
        <v>5</v>
      </c>
      <c r="Z20" s="159"/>
      <c r="AA20" s="140">
        <f>5*15</f>
        <v>75</v>
      </c>
      <c r="AB20" s="159"/>
      <c r="AC20" s="148">
        <v>19</v>
      </c>
      <c r="AD20" s="159"/>
      <c r="AE20" s="153">
        <f>19*15</f>
        <v>285</v>
      </c>
      <c r="AF20" s="148">
        <v>7</v>
      </c>
      <c r="AG20" s="159"/>
      <c r="AH20" s="153">
        <f>7*15</f>
        <v>105</v>
      </c>
      <c r="AI20" s="159">
        <v>0</v>
      </c>
      <c r="AJ20" s="159"/>
      <c r="AK20" s="140"/>
      <c r="AL20" s="159">
        <v>4</v>
      </c>
      <c r="AM20" s="159"/>
      <c r="AN20" s="140">
        <v>60</v>
      </c>
      <c r="AU20" s="247" t="s">
        <v>797</v>
      </c>
    </row>
    <row r="21" spans="1:47" ht="46.15" customHeight="1" x14ac:dyDescent="0.2">
      <c r="A21" s="305" t="s">
        <v>528</v>
      </c>
      <c r="B21" s="121"/>
      <c r="C21" s="122" t="s">
        <v>558</v>
      </c>
      <c r="D21" s="159"/>
      <c r="E21" s="123" t="s">
        <v>710</v>
      </c>
      <c r="F21" s="122"/>
      <c r="G21" s="123" t="s">
        <v>536</v>
      </c>
      <c r="H21" s="122"/>
      <c r="I21" s="145">
        <v>100</v>
      </c>
      <c r="J21" s="159"/>
      <c r="K21" s="122" t="s">
        <v>117</v>
      </c>
      <c r="L21" s="159"/>
      <c r="M21" s="122" t="s">
        <v>557</v>
      </c>
      <c r="N21" s="159"/>
      <c r="O21" s="159">
        <v>2016</v>
      </c>
      <c r="P21" s="162" t="s">
        <v>750</v>
      </c>
      <c r="Q21" s="159">
        <v>12</v>
      </c>
      <c r="R21" s="159"/>
      <c r="S21" s="140">
        <f>12*100</f>
        <v>1200</v>
      </c>
      <c r="T21" s="159"/>
      <c r="U21" s="148">
        <v>7</v>
      </c>
      <c r="V21" s="159"/>
      <c r="W21" s="153">
        <f>7*100</f>
        <v>700</v>
      </c>
      <c r="X21" s="159"/>
      <c r="Y21" s="214">
        <v>11</v>
      </c>
      <c r="Z21" s="159"/>
      <c r="AA21" s="140">
        <f>11*15</f>
        <v>165</v>
      </c>
      <c r="AB21" s="159"/>
      <c r="AC21" s="148">
        <v>8</v>
      </c>
      <c r="AD21" s="159"/>
      <c r="AE21" s="153">
        <f>8*15</f>
        <v>120</v>
      </c>
      <c r="AF21" s="148">
        <v>0</v>
      </c>
      <c r="AG21" s="159"/>
      <c r="AH21" s="153">
        <v>0</v>
      </c>
      <c r="AI21" s="159">
        <v>0</v>
      </c>
      <c r="AJ21" s="159"/>
      <c r="AK21" s="140"/>
      <c r="AL21" s="159">
        <v>0</v>
      </c>
      <c r="AM21" s="159"/>
      <c r="AN21" s="140"/>
      <c r="AO21" s="295"/>
      <c r="AP21" s="295"/>
      <c r="AQ21" s="295"/>
      <c r="AR21" s="295"/>
      <c r="AS21" s="295"/>
      <c r="AT21" s="295"/>
      <c r="AU21" s="265" t="s">
        <v>797</v>
      </c>
    </row>
    <row r="22" spans="1:47" ht="46.15" customHeight="1" x14ac:dyDescent="0.2">
      <c r="A22" s="305" t="s">
        <v>528</v>
      </c>
      <c r="B22" s="121"/>
      <c r="C22" s="122" t="s">
        <v>558</v>
      </c>
      <c r="D22" s="159"/>
      <c r="E22" s="123" t="s">
        <v>584</v>
      </c>
      <c r="F22" s="122"/>
      <c r="G22" s="123" t="s">
        <v>536</v>
      </c>
      <c r="H22" s="122"/>
      <c r="I22" s="145" t="s">
        <v>862</v>
      </c>
      <c r="J22" s="159"/>
      <c r="K22" s="122" t="s">
        <v>117</v>
      </c>
      <c r="L22" s="159"/>
      <c r="M22" s="122" t="s">
        <v>557</v>
      </c>
      <c r="N22" s="159"/>
      <c r="O22" s="159">
        <v>2016</v>
      </c>
      <c r="P22" s="162" t="s">
        <v>750</v>
      </c>
      <c r="Q22" s="159">
        <v>59</v>
      </c>
      <c r="R22" s="159"/>
      <c r="S22" s="140">
        <f>59*95</f>
        <v>5605</v>
      </c>
      <c r="T22" s="159"/>
      <c r="U22" s="148">
        <v>0</v>
      </c>
      <c r="V22" s="159"/>
      <c r="W22" s="153">
        <v>0</v>
      </c>
      <c r="X22" s="159"/>
      <c r="Y22" s="214">
        <v>53</v>
      </c>
      <c r="Z22" s="159"/>
      <c r="AA22" s="140">
        <f>53*95</f>
        <v>5035</v>
      </c>
      <c r="AB22" s="159"/>
      <c r="AC22" s="148">
        <v>49</v>
      </c>
      <c r="AD22" s="159"/>
      <c r="AE22" s="153">
        <f>49*125</f>
        <v>6125</v>
      </c>
      <c r="AF22" s="148">
        <v>29</v>
      </c>
      <c r="AG22" s="159"/>
      <c r="AH22" s="153">
        <f>29*125</f>
        <v>3625</v>
      </c>
      <c r="AI22" s="159">
        <v>40</v>
      </c>
      <c r="AJ22" s="159"/>
      <c r="AK22" s="140">
        <v>5000</v>
      </c>
      <c r="AL22" s="159">
        <v>9</v>
      </c>
      <c r="AM22" s="159"/>
      <c r="AN22" s="140">
        <v>1125</v>
      </c>
      <c r="AU22" s="247" t="s">
        <v>797</v>
      </c>
    </row>
    <row r="23" spans="1:47" ht="46.15" customHeight="1" x14ac:dyDescent="0.2">
      <c r="A23" s="305" t="s">
        <v>528</v>
      </c>
      <c r="B23" s="121"/>
      <c r="C23" s="122" t="s">
        <v>558</v>
      </c>
      <c r="D23" s="159"/>
      <c r="E23" s="123" t="s">
        <v>585</v>
      </c>
      <c r="F23" s="122"/>
      <c r="G23" s="123" t="s">
        <v>536</v>
      </c>
      <c r="H23" s="122"/>
      <c r="I23" s="145">
        <v>90</v>
      </c>
      <c r="J23" s="159"/>
      <c r="K23" s="122" t="s">
        <v>117</v>
      </c>
      <c r="L23" s="159"/>
      <c r="M23" s="122" t="s">
        <v>557</v>
      </c>
      <c r="N23" s="159"/>
      <c r="O23" s="159">
        <v>2016</v>
      </c>
      <c r="P23" s="162" t="s">
        <v>750</v>
      </c>
      <c r="Q23" s="159">
        <v>13</v>
      </c>
      <c r="R23" s="159"/>
      <c r="S23" s="140">
        <f>13*90</f>
        <v>1170</v>
      </c>
      <c r="T23" s="159"/>
      <c r="U23" s="148">
        <v>0</v>
      </c>
      <c r="V23" s="159"/>
      <c r="W23" s="153">
        <v>0</v>
      </c>
      <c r="X23" s="159"/>
      <c r="Y23" s="214">
        <v>0</v>
      </c>
      <c r="Z23" s="159"/>
      <c r="AA23" s="140">
        <v>0</v>
      </c>
      <c r="AB23" s="159"/>
      <c r="AC23" s="148">
        <v>0</v>
      </c>
      <c r="AD23" s="159"/>
      <c r="AE23" s="153">
        <v>0</v>
      </c>
      <c r="AF23" s="148">
        <v>0</v>
      </c>
      <c r="AG23" s="159"/>
      <c r="AH23" s="153">
        <v>0</v>
      </c>
      <c r="AI23" s="159">
        <v>0</v>
      </c>
      <c r="AJ23" s="159"/>
      <c r="AK23" s="140"/>
      <c r="AL23" s="159">
        <v>0</v>
      </c>
      <c r="AM23" s="159"/>
      <c r="AN23" s="140"/>
      <c r="AO23" s="295"/>
      <c r="AP23" s="295"/>
      <c r="AQ23" s="295"/>
      <c r="AR23" s="295"/>
      <c r="AS23" s="295"/>
      <c r="AT23" s="295"/>
      <c r="AU23" s="265" t="s">
        <v>797</v>
      </c>
    </row>
    <row r="24" spans="1:47" ht="46.15" customHeight="1" x14ac:dyDescent="0.2">
      <c r="A24" s="305" t="s">
        <v>528</v>
      </c>
      <c r="B24" s="121"/>
      <c r="C24" s="122" t="s">
        <v>558</v>
      </c>
      <c r="D24" s="159"/>
      <c r="E24" s="123" t="s">
        <v>586</v>
      </c>
      <c r="F24" s="122"/>
      <c r="G24" s="123" t="s">
        <v>536</v>
      </c>
      <c r="H24" s="122"/>
      <c r="I24" s="145">
        <v>85</v>
      </c>
      <c r="J24" s="159"/>
      <c r="K24" s="122" t="s">
        <v>117</v>
      </c>
      <c r="L24" s="159"/>
      <c r="M24" s="122" t="s">
        <v>557</v>
      </c>
      <c r="N24" s="159"/>
      <c r="O24" s="159">
        <v>2016</v>
      </c>
      <c r="P24" s="162" t="s">
        <v>750</v>
      </c>
      <c r="Q24" s="159">
        <v>19</v>
      </c>
      <c r="R24" s="159"/>
      <c r="S24" s="140">
        <f>19*80</f>
        <v>1520</v>
      </c>
      <c r="T24" s="159"/>
      <c r="U24" s="148">
        <v>0</v>
      </c>
      <c r="V24" s="159"/>
      <c r="W24" s="153">
        <v>0</v>
      </c>
      <c r="X24" s="159"/>
      <c r="Y24" s="214">
        <v>0</v>
      </c>
      <c r="Z24" s="159"/>
      <c r="AA24" s="140">
        <v>0</v>
      </c>
      <c r="AB24" s="159"/>
      <c r="AC24" s="148">
        <v>13</v>
      </c>
      <c r="AD24" s="159"/>
      <c r="AE24" s="153">
        <f>13*85</f>
        <v>1105</v>
      </c>
      <c r="AF24" s="148">
        <v>0</v>
      </c>
      <c r="AG24" s="159"/>
      <c r="AH24" s="153">
        <v>0</v>
      </c>
      <c r="AI24" s="159">
        <v>15</v>
      </c>
      <c r="AJ24" s="159"/>
      <c r="AK24" s="140">
        <v>1275</v>
      </c>
      <c r="AL24" s="159"/>
      <c r="AM24" s="159"/>
      <c r="AN24" s="140"/>
      <c r="AU24" s="247" t="s">
        <v>797</v>
      </c>
    </row>
    <row r="25" spans="1:47" ht="46.15" customHeight="1" x14ac:dyDescent="0.2">
      <c r="A25" s="305" t="s">
        <v>528</v>
      </c>
      <c r="B25" s="121"/>
      <c r="C25" s="122" t="s">
        <v>558</v>
      </c>
      <c r="D25" s="159"/>
      <c r="E25" s="123" t="s">
        <v>587</v>
      </c>
      <c r="F25" s="122"/>
      <c r="G25" s="123" t="s">
        <v>536</v>
      </c>
      <c r="H25" s="122"/>
      <c r="I25" s="145">
        <v>125</v>
      </c>
      <c r="J25" s="159"/>
      <c r="K25" s="122" t="s">
        <v>117</v>
      </c>
      <c r="L25" s="159"/>
      <c r="M25" s="122" t="s">
        <v>557</v>
      </c>
      <c r="N25" s="159"/>
      <c r="O25" s="159">
        <v>2016</v>
      </c>
      <c r="P25" s="162" t="s">
        <v>750</v>
      </c>
      <c r="Q25" s="159">
        <v>24</v>
      </c>
      <c r="R25" s="159"/>
      <c r="S25" s="140">
        <f>24*160</f>
        <v>3840</v>
      </c>
      <c r="T25" s="159"/>
      <c r="U25" s="148">
        <v>0</v>
      </c>
      <c r="V25" s="159"/>
      <c r="W25" s="153">
        <v>0</v>
      </c>
      <c r="X25" s="159"/>
      <c r="Y25" s="218">
        <v>20</v>
      </c>
      <c r="Z25" s="159"/>
      <c r="AA25" s="140">
        <f>20*160</f>
        <v>3200</v>
      </c>
      <c r="AB25" s="159"/>
      <c r="AC25" s="148">
        <v>8</v>
      </c>
      <c r="AD25" s="159"/>
      <c r="AE25" s="153">
        <f>8*125</f>
        <v>1000</v>
      </c>
      <c r="AF25" s="148">
        <v>18</v>
      </c>
      <c r="AG25" s="159"/>
      <c r="AH25" s="153">
        <f>18*125</f>
        <v>2250</v>
      </c>
      <c r="AI25" s="159">
        <v>12</v>
      </c>
      <c r="AJ25" s="159"/>
      <c r="AK25" s="140">
        <v>1500</v>
      </c>
      <c r="AL25" s="159">
        <v>14</v>
      </c>
      <c r="AM25" s="159"/>
      <c r="AN25" s="140">
        <v>1750</v>
      </c>
      <c r="AO25" s="295"/>
      <c r="AP25" s="295"/>
      <c r="AQ25" s="295"/>
      <c r="AR25" s="295"/>
      <c r="AS25" s="295"/>
      <c r="AT25" s="295"/>
      <c r="AU25" s="265" t="s">
        <v>797</v>
      </c>
    </row>
    <row r="26" spans="1:47" ht="46.15" customHeight="1" x14ac:dyDescent="0.2">
      <c r="A26" s="305" t="s">
        <v>528</v>
      </c>
      <c r="B26" s="121"/>
      <c r="C26" s="122" t="s">
        <v>558</v>
      </c>
      <c r="D26" s="159"/>
      <c r="E26" s="123" t="s">
        <v>589</v>
      </c>
      <c r="F26" s="122"/>
      <c r="G26" s="123" t="s">
        <v>536</v>
      </c>
      <c r="H26" s="122"/>
      <c r="I26" s="145">
        <v>95</v>
      </c>
      <c r="J26" s="159"/>
      <c r="K26" s="122" t="s">
        <v>117</v>
      </c>
      <c r="L26" s="159"/>
      <c r="M26" s="122" t="s">
        <v>557</v>
      </c>
      <c r="N26" s="159"/>
      <c r="O26" s="159">
        <v>2011</v>
      </c>
      <c r="P26" s="162" t="s">
        <v>750</v>
      </c>
      <c r="Q26" s="159">
        <v>0</v>
      </c>
      <c r="R26" s="159"/>
      <c r="S26" s="140">
        <v>0</v>
      </c>
      <c r="T26" s="159"/>
      <c r="U26" s="148">
        <v>8</v>
      </c>
      <c r="V26" s="159"/>
      <c r="W26" s="153">
        <f>8*95</f>
        <v>760</v>
      </c>
      <c r="X26" s="159"/>
      <c r="Y26" s="214">
        <v>8</v>
      </c>
      <c r="Z26" s="159"/>
      <c r="AA26" s="140">
        <f>8*130</f>
        <v>1040</v>
      </c>
      <c r="AB26" s="159"/>
      <c r="AC26" s="148">
        <v>0</v>
      </c>
      <c r="AD26" s="159"/>
      <c r="AE26" s="153">
        <v>0</v>
      </c>
      <c r="AF26" s="148">
        <v>0</v>
      </c>
      <c r="AG26" s="159"/>
      <c r="AH26" s="153">
        <v>0</v>
      </c>
      <c r="AI26" s="159">
        <v>0</v>
      </c>
      <c r="AJ26" s="159"/>
      <c r="AK26" s="140">
        <v>0</v>
      </c>
      <c r="AL26" s="159"/>
      <c r="AM26" s="159"/>
      <c r="AN26" s="140"/>
      <c r="AU26" s="247" t="s">
        <v>797</v>
      </c>
    </row>
    <row r="27" spans="1:47" ht="46.15" customHeight="1" x14ac:dyDescent="0.2">
      <c r="A27" s="305" t="s">
        <v>528</v>
      </c>
      <c r="B27" s="121"/>
      <c r="C27" s="122" t="s">
        <v>558</v>
      </c>
      <c r="D27" s="159"/>
      <c r="E27" s="123" t="s">
        <v>588</v>
      </c>
      <c r="F27" s="122"/>
      <c r="G27" s="123" t="s">
        <v>536</v>
      </c>
      <c r="H27" s="122"/>
      <c r="I27" s="145">
        <v>125</v>
      </c>
      <c r="J27" s="159"/>
      <c r="K27" s="122" t="s">
        <v>117</v>
      </c>
      <c r="L27" s="159"/>
      <c r="M27" s="122" t="s">
        <v>557</v>
      </c>
      <c r="N27" s="159"/>
      <c r="O27" s="159">
        <v>2011</v>
      </c>
      <c r="P27" s="162" t="s">
        <v>750</v>
      </c>
      <c r="Q27" s="159">
        <v>13</v>
      </c>
      <c r="R27" s="159"/>
      <c r="S27" s="140">
        <f>13*125</f>
        <v>1625</v>
      </c>
      <c r="T27" s="159"/>
      <c r="U27" s="148">
        <v>0</v>
      </c>
      <c r="V27" s="159"/>
      <c r="W27" s="153">
        <v>0</v>
      </c>
      <c r="X27" s="159"/>
      <c r="Y27" s="214">
        <v>0</v>
      </c>
      <c r="Z27" s="159"/>
      <c r="AA27" s="140">
        <v>0</v>
      </c>
      <c r="AB27" s="159"/>
      <c r="AC27" s="148">
        <v>0</v>
      </c>
      <c r="AD27" s="159"/>
      <c r="AE27" s="153">
        <v>0</v>
      </c>
      <c r="AF27" s="148">
        <v>0</v>
      </c>
      <c r="AG27" s="159"/>
      <c r="AH27" s="153">
        <v>0</v>
      </c>
      <c r="AI27" s="159">
        <v>0</v>
      </c>
      <c r="AJ27" s="159"/>
      <c r="AK27" s="140">
        <v>0</v>
      </c>
      <c r="AL27" s="159"/>
      <c r="AM27" s="159"/>
      <c r="AN27" s="140"/>
      <c r="AO27" s="295"/>
      <c r="AP27" s="295"/>
      <c r="AQ27" s="295"/>
      <c r="AR27" s="295"/>
      <c r="AS27" s="295"/>
      <c r="AT27" s="295"/>
      <c r="AU27" s="265" t="s">
        <v>797</v>
      </c>
    </row>
    <row r="28" spans="1:47" ht="46.15" customHeight="1" x14ac:dyDescent="0.2">
      <c r="A28" s="305" t="s">
        <v>528</v>
      </c>
      <c r="B28" s="121"/>
      <c r="C28" s="122" t="s">
        <v>558</v>
      </c>
      <c r="D28" s="159"/>
      <c r="E28" s="123" t="s">
        <v>533</v>
      </c>
      <c r="F28" s="122"/>
      <c r="G28" s="123" t="s">
        <v>536</v>
      </c>
      <c r="H28" s="122"/>
      <c r="I28" s="145">
        <v>125</v>
      </c>
      <c r="J28" s="159"/>
      <c r="K28" s="122" t="s">
        <v>117</v>
      </c>
      <c r="L28" s="159"/>
      <c r="M28" s="122" t="s">
        <v>557</v>
      </c>
      <c r="N28" s="159"/>
      <c r="O28" s="159">
        <v>2016</v>
      </c>
      <c r="P28" s="162" t="s">
        <v>750</v>
      </c>
      <c r="Q28" s="159">
        <v>71</v>
      </c>
      <c r="R28" s="159"/>
      <c r="S28" s="140">
        <f>71*125</f>
        <v>8875</v>
      </c>
      <c r="T28" s="159"/>
      <c r="U28" s="148">
        <v>50</v>
      </c>
      <c r="V28" s="159"/>
      <c r="W28" s="153">
        <f>50*125</f>
        <v>6250</v>
      </c>
      <c r="X28" s="159"/>
      <c r="Y28" s="214">
        <v>84</v>
      </c>
      <c r="Z28" s="159"/>
      <c r="AA28" s="140">
        <f>84*125</f>
        <v>10500</v>
      </c>
      <c r="AB28" s="159"/>
      <c r="AC28" s="148">
        <v>87</v>
      </c>
      <c r="AD28" s="159"/>
      <c r="AE28" s="153">
        <f>87*125</f>
        <v>10875</v>
      </c>
      <c r="AF28" s="148">
        <v>58</v>
      </c>
      <c r="AG28" s="159"/>
      <c r="AH28" s="153">
        <f>58*125</f>
        <v>7250</v>
      </c>
      <c r="AI28" s="159">
        <v>89</v>
      </c>
      <c r="AJ28" s="159"/>
      <c r="AK28" s="140">
        <v>11125</v>
      </c>
      <c r="AL28" s="159">
        <v>34</v>
      </c>
      <c r="AM28" s="159"/>
      <c r="AN28" s="140">
        <v>4250</v>
      </c>
      <c r="AU28" s="247" t="s">
        <v>797</v>
      </c>
    </row>
    <row r="29" spans="1:47" ht="46.15" customHeight="1" x14ac:dyDescent="0.2">
      <c r="A29" s="305" t="s">
        <v>528</v>
      </c>
      <c r="B29" s="121"/>
      <c r="C29" s="122" t="s">
        <v>558</v>
      </c>
      <c r="D29" s="159"/>
      <c r="E29" s="123" t="s">
        <v>534</v>
      </c>
      <c r="F29" s="122"/>
      <c r="G29" s="123" t="s">
        <v>536</v>
      </c>
      <c r="H29" s="122"/>
      <c r="I29" s="145">
        <v>150</v>
      </c>
      <c r="J29" s="159"/>
      <c r="K29" s="122" t="s">
        <v>117</v>
      </c>
      <c r="L29" s="159"/>
      <c r="M29" s="122" t="s">
        <v>557</v>
      </c>
      <c r="N29" s="159"/>
      <c r="O29" s="159">
        <v>2016</v>
      </c>
      <c r="P29" s="162" t="s">
        <v>750</v>
      </c>
      <c r="Q29" s="159">
        <v>45</v>
      </c>
      <c r="R29" s="159"/>
      <c r="S29" s="140">
        <f>45*225</f>
        <v>10125</v>
      </c>
      <c r="T29" s="159"/>
      <c r="U29" s="148">
        <v>260</v>
      </c>
      <c r="V29" s="159"/>
      <c r="W29" s="153">
        <f>260*225</f>
        <v>58500</v>
      </c>
      <c r="X29" s="159"/>
      <c r="Y29" s="214">
        <v>211</v>
      </c>
      <c r="Z29" s="159"/>
      <c r="AA29" s="140">
        <f>211*200</f>
        <v>42200</v>
      </c>
      <c r="AB29" s="159"/>
      <c r="AC29" s="148">
        <v>130</v>
      </c>
      <c r="AD29" s="159"/>
      <c r="AE29" s="153">
        <f>130*150</f>
        <v>19500</v>
      </c>
      <c r="AF29" s="148">
        <v>206</v>
      </c>
      <c r="AG29" s="159"/>
      <c r="AH29" s="153">
        <f>206*150</f>
        <v>30900</v>
      </c>
      <c r="AI29" s="159">
        <v>190</v>
      </c>
      <c r="AJ29" s="159"/>
      <c r="AK29" s="140">
        <v>28500</v>
      </c>
      <c r="AL29" s="159">
        <v>243</v>
      </c>
      <c r="AM29" s="159"/>
      <c r="AN29" s="140">
        <v>36450</v>
      </c>
      <c r="AO29" s="295"/>
      <c r="AP29" s="295"/>
      <c r="AQ29" s="295"/>
      <c r="AR29" s="295"/>
      <c r="AS29" s="295"/>
      <c r="AT29" s="295"/>
      <c r="AU29" s="265" t="s">
        <v>797</v>
      </c>
    </row>
    <row r="30" spans="1:47" ht="46.15" customHeight="1" x14ac:dyDescent="0.2">
      <c r="A30" s="305" t="s">
        <v>528</v>
      </c>
      <c r="B30" s="121"/>
      <c r="C30" s="122" t="s">
        <v>558</v>
      </c>
      <c r="D30" s="159"/>
      <c r="E30" s="123" t="s">
        <v>535</v>
      </c>
      <c r="F30" s="122"/>
      <c r="G30" s="123" t="s">
        <v>536</v>
      </c>
      <c r="H30" s="122"/>
      <c r="I30" s="145">
        <v>175</v>
      </c>
      <c r="J30" s="159"/>
      <c r="K30" s="122" t="s">
        <v>117</v>
      </c>
      <c r="L30" s="159"/>
      <c r="M30" s="122" t="s">
        <v>557</v>
      </c>
      <c r="N30" s="159"/>
      <c r="O30" s="159">
        <v>2016</v>
      </c>
      <c r="P30" s="162" t="s">
        <v>750</v>
      </c>
      <c r="Q30" s="159">
        <v>40</v>
      </c>
      <c r="R30" s="159"/>
      <c r="S30" s="140">
        <f>40*240</f>
        <v>9600</v>
      </c>
      <c r="T30" s="159"/>
      <c r="U30" s="148">
        <v>102</v>
      </c>
      <c r="V30" s="159"/>
      <c r="W30" s="153">
        <f>102*240</f>
        <v>24480</v>
      </c>
      <c r="X30" s="159"/>
      <c r="Y30" s="214">
        <v>67</v>
      </c>
      <c r="Z30" s="159"/>
      <c r="AA30" s="140">
        <f>67*200</f>
        <v>13400</v>
      </c>
      <c r="AB30" s="159"/>
      <c r="AC30" s="148">
        <v>82</v>
      </c>
      <c r="AD30" s="159"/>
      <c r="AE30" s="153">
        <f>82*175</f>
        <v>14350</v>
      </c>
      <c r="AF30" s="148">
        <v>90</v>
      </c>
      <c r="AG30" s="159"/>
      <c r="AH30" s="153">
        <f>90*175</f>
        <v>15750</v>
      </c>
      <c r="AI30" s="159">
        <v>96</v>
      </c>
      <c r="AJ30" s="159"/>
      <c r="AK30" s="140">
        <v>16800</v>
      </c>
      <c r="AL30" s="159">
        <v>119</v>
      </c>
      <c r="AM30" s="159"/>
      <c r="AN30" s="140">
        <v>20825</v>
      </c>
      <c r="AU30" s="247" t="s">
        <v>797</v>
      </c>
    </row>
    <row r="31" spans="1:47" ht="46.15" customHeight="1" x14ac:dyDescent="0.2">
      <c r="A31" s="305" t="s">
        <v>528</v>
      </c>
      <c r="B31" s="121"/>
      <c r="C31" s="122" t="s">
        <v>558</v>
      </c>
      <c r="D31" s="159"/>
      <c r="E31" s="123" t="s">
        <v>590</v>
      </c>
      <c r="F31" s="122"/>
      <c r="G31" s="123" t="s">
        <v>536</v>
      </c>
      <c r="H31" s="122"/>
      <c r="I31" s="145">
        <v>125</v>
      </c>
      <c r="J31" s="159"/>
      <c r="K31" s="122" t="s">
        <v>117</v>
      </c>
      <c r="L31" s="159"/>
      <c r="M31" s="122" t="s">
        <v>557</v>
      </c>
      <c r="N31" s="159"/>
      <c r="O31" s="159">
        <v>2016</v>
      </c>
      <c r="P31" s="162" t="s">
        <v>750</v>
      </c>
      <c r="Q31" s="159">
        <v>6</v>
      </c>
      <c r="R31" s="159"/>
      <c r="S31" s="140">
        <f>6*90</f>
        <v>540</v>
      </c>
      <c r="T31" s="159"/>
      <c r="U31" s="148">
        <v>0</v>
      </c>
      <c r="V31" s="159"/>
      <c r="W31" s="153">
        <v>0</v>
      </c>
      <c r="X31" s="159"/>
      <c r="Y31" s="214">
        <v>11</v>
      </c>
      <c r="Z31" s="159"/>
      <c r="AA31" s="140">
        <f>11*90</f>
        <v>990</v>
      </c>
      <c r="AB31" s="159"/>
      <c r="AC31" s="148">
        <v>0</v>
      </c>
      <c r="AD31" s="159"/>
      <c r="AE31" s="153">
        <v>0</v>
      </c>
      <c r="AF31" s="148">
        <v>17</v>
      </c>
      <c r="AG31" s="159"/>
      <c r="AH31" s="153">
        <f>17*125</f>
        <v>2125</v>
      </c>
      <c r="AI31" s="159">
        <v>5</v>
      </c>
      <c r="AJ31" s="159"/>
      <c r="AK31" s="140">
        <v>625</v>
      </c>
      <c r="AL31" s="159">
        <v>19</v>
      </c>
      <c r="AM31" s="159"/>
      <c r="AN31" s="140">
        <v>2375</v>
      </c>
      <c r="AO31" s="295"/>
      <c r="AP31" s="295"/>
      <c r="AQ31" s="295"/>
      <c r="AR31" s="295"/>
      <c r="AS31" s="295"/>
      <c r="AT31" s="295"/>
      <c r="AU31" s="265" t="s">
        <v>797</v>
      </c>
    </row>
    <row r="32" spans="1:47" ht="46.15" customHeight="1" x14ac:dyDescent="0.2">
      <c r="A32" s="305" t="s">
        <v>528</v>
      </c>
      <c r="B32" s="121"/>
      <c r="C32" s="122" t="s">
        <v>558</v>
      </c>
      <c r="D32" s="159"/>
      <c r="E32" s="123" t="s">
        <v>591</v>
      </c>
      <c r="F32" s="122"/>
      <c r="G32" s="123" t="s">
        <v>536</v>
      </c>
      <c r="H32" s="122"/>
      <c r="I32" s="145">
        <v>100</v>
      </c>
      <c r="J32" s="159"/>
      <c r="K32" s="122" t="s">
        <v>117</v>
      </c>
      <c r="L32" s="159"/>
      <c r="M32" s="122" t="s">
        <v>557</v>
      </c>
      <c r="N32" s="159"/>
      <c r="O32" s="159">
        <v>2016</v>
      </c>
      <c r="P32" s="162" t="s">
        <v>750</v>
      </c>
      <c r="Q32" s="159">
        <v>20</v>
      </c>
      <c r="R32" s="159"/>
      <c r="S32" s="140">
        <f>20*100</f>
        <v>2000</v>
      </c>
      <c r="T32" s="159"/>
      <c r="U32" s="148">
        <v>15</v>
      </c>
      <c r="V32" s="159"/>
      <c r="W32" s="153">
        <f>15*100</f>
        <v>1500</v>
      </c>
      <c r="X32" s="159"/>
      <c r="Y32" s="214">
        <v>17</v>
      </c>
      <c r="Z32" s="159"/>
      <c r="AA32" s="140">
        <f>17*100</f>
        <v>1700</v>
      </c>
      <c r="AB32" s="159"/>
      <c r="AC32" s="148">
        <v>28</v>
      </c>
      <c r="AD32" s="159"/>
      <c r="AE32" s="153">
        <f>28*100</f>
        <v>2800</v>
      </c>
      <c r="AF32" s="148">
        <v>24</v>
      </c>
      <c r="AG32" s="159"/>
      <c r="AH32" s="153">
        <f>24*100</f>
        <v>2400</v>
      </c>
      <c r="AI32" s="159">
        <v>33</v>
      </c>
      <c r="AJ32" s="159"/>
      <c r="AK32" s="140">
        <v>3300</v>
      </c>
      <c r="AL32" s="159">
        <v>23</v>
      </c>
      <c r="AM32" s="159"/>
      <c r="AN32" s="140">
        <v>2300</v>
      </c>
      <c r="AU32" s="247" t="s">
        <v>797</v>
      </c>
    </row>
    <row r="33" spans="1:47" ht="46.15" customHeight="1" x14ac:dyDescent="0.2">
      <c r="A33" s="305" t="s">
        <v>528</v>
      </c>
      <c r="B33" s="121"/>
      <c r="C33" s="122" t="s">
        <v>558</v>
      </c>
      <c r="D33" s="159"/>
      <c r="E33" s="123" t="s">
        <v>592</v>
      </c>
      <c r="F33" s="122"/>
      <c r="G33" s="123" t="s">
        <v>536</v>
      </c>
      <c r="H33" s="122"/>
      <c r="I33" s="145">
        <v>130</v>
      </c>
      <c r="J33" s="159"/>
      <c r="K33" s="122" t="s">
        <v>117</v>
      </c>
      <c r="L33" s="159"/>
      <c r="M33" s="122" t="s">
        <v>557</v>
      </c>
      <c r="N33" s="159"/>
      <c r="O33" s="159">
        <v>2011</v>
      </c>
      <c r="P33" s="162" t="s">
        <v>750</v>
      </c>
      <c r="Q33" s="159">
        <v>7</v>
      </c>
      <c r="R33" s="159"/>
      <c r="S33" s="140">
        <f>7*130</f>
        <v>910</v>
      </c>
      <c r="T33" s="159"/>
      <c r="U33" s="148">
        <v>0</v>
      </c>
      <c r="V33" s="159"/>
      <c r="W33" s="153">
        <v>0</v>
      </c>
      <c r="X33" s="159"/>
      <c r="Y33" s="214">
        <v>0</v>
      </c>
      <c r="Z33" s="159"/>
      <c r="AA33" s="140">
        <v>0</v>
      </c>
      <c r="AB33" s="159"/>
      <c r="AC33" s="148">
        <v>0</v>
      </c>
      <c r="AD33" s="159"/>
      <c r="AE33" s="153">
        <v>0</v>
      </c>
      <c r="AF33" s="148">
        <v>0</v>
      </c>
      <c r="AG33" s="159"/>
      <c r="AH33" s="153">
        <v>0</v>
      </c>
      <c r="AI33" s="148"/>
      <c r="AJ33" s="159"/>
      <c r="AK33" s="153"/>
      <c r="AL33" s="148"/>
      <c r="AM33" s="159"/>
      <c r="AN33" s="153"/>
      <c r="AO33" s="295"/>
      <c r="AP33" s="295"/>
      <c r="AQ33" s="295"/>
      <c r="AR33" s="295"/>
      <c r="AS33" s="295"/>
      <c r="AT33" s="295"/>
      <c r="AU33" s="265" t="s">
        <v>797</v>
      </c>
    </row>
    <row r="34" spans="1:47" ht="46.15" customHeight="1" x14ac:dyDescent="0.2">
      <c r="A34" s="305" t="s">
        <v>528</v>
      </c>
      <c r="B34" s="121"/>
      <c r="C34" s="122" t="s">
        <v>558</v>
      </c>
      <c r="D34" s="159"/>
      <c r="E34" s="123" t="s">
        <v>537</v>
      </c>
      <c r="F34" s="122"/>
      <c r="G34" s="123" t="s">
        <v>536</v>
      </c>
      <c r="H34" s="122"/>
      <c r="I34" s="145" t="s">
        <v>859</v>
      </c>
      <c r="J34" s="159"/>
      <c r="K34" s="122" t="s">
        <v>117</v>
      </c>
      <c r="L34" s="159"/>
      <c r="M34" s="122" t="s">
        <v>557</v>
      </c>
      <c r="N34" s="159"/>
      <c r="O34" s="159">
        <v>2016</v>
      </c>
      <c r="P34" s="162" t="s">
        <v>750</v>
      </c>
      <c r="Q34" s="159">
        <v>38</v>
      </c>
      <c r="R34" s="159"/>
      <c r="S34" s="140">
        <f>38*150</f>
        <v>5700</v>
      </c>
      <c r="T34" s="159"/>
      <c r="U34" s="148">
        <v>42</v>
      </c>
      <c r="V34" s="159"/>
      <c r="W34" s="153">
        <f>42*150</f>
        <v>6300</v>
      </c>
      <c r="X34" s="159"/>
      <c r="Y34" s="214">
        <v>31</v>
      </c>
      <c r="Z34" s="159"/>
      <c r="AA34" s="140">
        <f>31*150</f>
        <v>4650</v>
      </c>
      <c r="AB34" s="159"/>
      <c r="AC34" s="148">
        <v>37</v>
      </c>
      <c r="AD34" s="159"/>
      <c r="AE34" s="153">
        <f>37*125</f>
        <v>4625</v>
      </c>
      <c r="AF34" s="148">
        <v>54</v>
      </c>
      <c r="AG34" s="159"/>
      <c r="AH34" s="153">
        <f>54*125</f>
        <v>6750</v>
      </c>
      <c r="AI34" s="159">
        <v>48</v>
      </c>
      <c r="AJ34" s="159"/>
      <c r="AK34" s="140">
        <v>6000</v>
      </c>
      <c r="AL34" s="159">
        <v>35</v>
      </c>
      <c r="AM34" s="159"/>
      <c r="AN34" s="140">
        <v>5250</v>
      </c>
      <c r="AU34" s="247" t="s">
        <v>797</v>
      </c>
    </row>
    <row r="35" spans="1:47" ht="46.15" customHeight="1" x14ac:dyDescent="0.2">
      <c r="A35" s="305" t="s">
        <v>528</v>
      </c>
      <c r="B35" s="121"/>
      <c r="C35" s="122" t="s">
        <v>558</v>
      </c>
      <c r="D35" s="159"/>
      <c r="E35" s="123" t="s">
        <v>593</v>
      </c>
      <c r="F35" s="122"/>
      <c r="G35" s="123" t="s">
        <v>536</v>
      </c>
      <c r="H35" s="122"/>
      <c r="I35" s="145" t="s">
        <v>581</v>
      </c>
      <c r="J35" s="159"/>
      <c r="K35" s="122" t="s">
        <v>117</v>
      </c>
      <c r="L35" s="159"/>
      <c r="M35" s="122" t="s">
        <v>557</v>
      </c>
      <c r="N35" s="159"/>
      <c r="O35" s="159">
        <v>2011</v>
      </c>
      <c r="P35" s="162" t="s">
        <v>750</v>
      </c>
      <c r="Q35" s="159">
        <v>0</v>
      </c>
      <c r="R35" s="159"/>
      <c r="S35" s="140">
        <v>0</v>
      </c>
      <c r="T35" s="159"/>
      <c r="U35" s="148">
        <v>0</v>
      </c>
      <c r="V35" s="159"/>
      <c r="W35" s="153">
        <v>0</v>
      </c>
      <c r="X35" s="159"/>
      <c r="Y35" s="214">
        <v>0</v>
      </c>
      <c r="Z35" s="159"/>
      <c r="AA35" s="140">
        <v>0</v>
      </c>
      <c r="AB35" s="159"/>
      <c r="AC35" s="148">
        <v>0</v>
      </c>
      <c r="AD35" s="159"/>
      <c r="AE35" s="153">
        <v>0</v>
      </c>
      <c r="AF35" s="148">
        <v>0</v>
      </c>
      <c r="AG35" s="159"/>
      <c r="AH35" s="153">
        <v>0</v>
      </c>
      <c r="AI35" s="159"/>
      <c r="AJ35" s="159"/>
      <c r="AK35" s="140"/>
      <c r="AL35" s="159">
        <v>0</v>
      </c>
      <c r="AM35" s="159"/>
      <c r="AN35" s="140"/>
      <c r="AO35" s="295"/>
      <c r="AP35" s="295"/>
      <c r="AQ35" s="295"/>
      <c r="AR35" s="295"/>
      <c r="AS35" s="295"/>
      <c r="AT35" s="295"/>
      <c r="AU35" s="265" t="s">
        <v>797</v>
      </c>
    </row>
    <row r="36" spans="1:47" ht="46.15" customHeight="1" x14ac:dyDescent="0.2">
      <c r="A36" s="305" t="s">
        <v>528</v>
      </c>
      <c r="B36" s="121"/>
      <c r="C36" s="122" t="s">
        <v>558</v>
      </c>
      <c r="D36" s="159"/>
      <c r="E36" s="123" t="s">
        <v>594</v>
      </c>
      <c r="F36" s="122"/>
      <c r="G36" s="123" t="s">
        <v>536</v>
      </c>
      <c r="H36" s="122"/>
      <c r="I36" s="145" t="s">
        <v>581</v>
      </c>
      <c r="J36" s="159"/>
      <c r="K36" s="122" t="s">
        <v>117</v>
      </c>
      <c r="L36" s="159"/>
      <c r="M36" s="122" t="s">
        <v>557</v>
      </c>
      <c r="N36" s="159"/>
      <c r="O36" s="159">
        <v>2011</v>
      </c>
      <c r="P36" s="162" t="s">
        <v>750</v>
      </c>
      <c r="Q36" s="159">
        <v>0</v>
      </c>
      <c r="R36" s="159"/>
      <c r="S36" s="140">
        <v>0</v>
      </c>
      <c r="T36" s="159"/>
      <c r="U36" s="148">
        <v>0</v>
      </c>
      <c r="V36" s="159"/>
      <c r="W36" s="153">
        <v>0</v>
      </c>
      <c r="X36" s="159"/>
      <c r="Y36" s="214">
        <v>0</v>
      </c>
      <c r="Z36" s="159"/>
      <c r="AA36" s="140">
        <v>0</v>
      </c>
      <c r="AB36" s="159"/>
      <c r="AC36" s="148">
        <v>0</v>
      </c>
      <c r="AD36" s="159"/>
      <c r="AE36" s="153">
        <v>0</v>
      </c>
      <c r="AF36" s="148">
        <v>0</v>
      </c>
      <c r="AG36" s="159"/>
      <c r="AH36" s="153">
        <v>0</v>
      </c>
      <c r="AI36" s="159"/>
      <c r="AJ36" s="159"/>
      <c r="AK36" s="140"/>
      <c r="AL36" s="159"/>
      <c r="AM36" s="159"/>
      <c r="AN36" s="140"/>
      <c r="AU36" s="247" t="s">
        <v>797</v>
      </c>
    </row>
    <row r="37" spans="1:47" ht="46.15" customHeight="1" x14ac:dyDescent="0.2">
      <c r="A37" s="305" t="s">
        <v>528</v>
      </c>
      <c r="B37" s="121"/>
      <c r="C37" s="122" t="s">
        <v>558</v>
      </c>
      <c r="D37" s="159"/>
      <c r="E37" s="123" t="s">
        <v>538</v>
      </c>
      <c r="F37" s="122"/>
      <c r="G37" s="123" t="s">
        <v>536</v>
      </c>
      <c r="H37" s="122"/>
      <c r="I37" s="145">
        <v>195</v>
      </c>
      <c r="J37" s="159"/>
      <c r="K37" s="122" t="s">
        <v>117</v>
      </c>
      <c r="L37" s="159"/>
      <c r="M37" s="122" t="s">
        <v>557</v>
      </c>
      <c r="N37" s="159"/>
      <c r="O37" s="159">
        <v>2011</v>
      </c>
      <c r="P37" s="162" t="s">
        <v>750</v>
      </c>
      <c r="Q37" s="159">
        <v>0</v>
      </c>
      <c r="R37" s="159"/>
      <c r="S37" s="140">
        <v>0</v>
      </c>
      <c r="T37" s="159"/>
      <c r="U37" s="148">
        <v>6</v>
      </c>
      <c r="V37" s="159"/>
      <c r="W37" s="153">
        <f>6*195</f>
        <v>1170</v>
      </c>
      <c r="X37" s="159"/>
      <c r="Y37" s="214">
        <v>0</v>
      </c>
      <c r="Z37" s="159"/>
      <c r="AA37" s="140">
        <v>0</v>
      </c>
      <c r="AB37" s="159"/>
      <c r="AC37" s="148">
        <v>0</v>
      </c>
      <c r="AD37" s="159"/>
      <c r="AE37" s="153">
        <v>0</v>
      </c>
      <c r="AF37" s="148">
        <v>0</v>
      </c>
      <c r="AG37" s="159"/>
      <c r="AH37" s="153">
        <v>0</v>
      </c>
      <c r="AI37" s="159"/>
      <c r="AJ37" s="159"/>
      <c r="AK37" s="140"/>
      <c r="AL37" s="159"/>
      <c r="AM37" s="159"/>
      <c r="AN37" s="140"/>
      <c r="AO37" s="295"/>
      <c r="AP37" s="295"/>
      <c r="AQ37" s="295"/>
      <c r="AR37" s="295"/>
      <c r="AS37" s="295"/>
      <c r="AT37" s="295"/>
      <c r="AU37" s="265" t="s">
        <v>797</v>
      </c>
    </row>
    <row r="38" spans="1:47" ht="46.15" customHeight="1" x14ac:dyDescent="0.2">
      <c r="A38" s="305" t="s">
        <v>528</v>
      </c>
      <c r="B38" s="121"/>
      <c r="C38" s="122" t="s">
        <v>558</v>
      </c>
      <c r="D38" s="159"/>
      <c r="E38" s="123" t="s">
        <v>539</v>
      </c>
      <c r="F38" s="122"/>
      <c r="G38" s="123" t="s">
        <v>536</v>
      </c>
      <c r="H38" s="122"/>
      <c r="I38" s="145" t="s">
        <v>826</v>
      </c>
      <c r="J38" s="159"/>
      <c r="K38" s="122" t="s">
        <v>117</v>
      </c>
      <c r="L38" s="159"/>
      <c r="M38" s="122" t="s">
        <v>557</v>
      </c>
      <c r="N38" s="159"/>
      <c r="O38" s="159">
        <v>2016</v>
      </c>
      <c r="P38" s="162" t="s">
        <v>750</v>
      </c>
      <c r="Q38" s="122" t="s">
        <v>563</v>
      </c>
      <c r="R38" s="159"/>
      <c r="S38" s="140">
        <f>(30*100)+(6*190)</f>
        <v>4140</v>
      </c>
      <c r="T38" s="159"/>
      <c r="U38" s="149">
        <v>45</v>
      </c>
      <c r="V38" s="159"/>
      <c r="W38" s="153">
        <f>(31*100)+(14*15)</f>
        <v>3310</v>
      </c>
      <c r="X38" s="159"/>
      <c r="Y38" s="215">
        <v>33</v>
      </c>
      <c r="Z38" s="159"/>
      <c r="AA38" s="140">
        <f>33*15</f>
        <v>495</v>
      </c>
      <c r="AB38" s="159"/>
      <c r="AC38" s="149">
        <v>69</v>
      </c>
      <c r="AD38" s="159"/>
      <c r="AE38" s="153">
        <f>69*15</f>
        <v>1035</v>
      </c>
      <c r="AF38" s="149">
        <v>8</v>
      </c>
      <c r="AG38" s="159"/>
      <c r="AH38" s="153">
        <f>8*15</f>
        <v>120</v>
      </c>
      <c r="AI38" s="159">
        <v>0</v>
      </c>
      <c r="AJ38" s="159"/>
      <c r="AK38" s="140"/>
      <c r="AL38" s="159">
        <v>17</v>
      </c>
      <c r="AM38" s="159"/>
      <c r="AN38" s="140">
        <v>255</v>
      </c>
      <c r="AU38" s="247" t="s">
        <v>797</v>
      </c>
    </row>
    <row r="39" spans="1:47" ht="46.15" customHeight="1" x14ac:dyDescent="0.2">
      <c r="A39" s="305" t="s">
        <v>528</v>
      </c>
      <c r="B39" s="121"/>
      <c r="C39" s="122" t="s">
        <v>558</v>
      </c>
      <c r="D39" s="159"/>
      <c r="E39" s="123" t="s">
        <v>540</v>
      </c>
      <c r="F39" s="122"/>
      <c r="G39" s="123" t="s">
        <v>536</v>
      </c>
      <c r="H39" s="122"/>
      <c r="I39" s="145" t="s">
        <v>827</v>
      </c>
      <c r="J39" s="159"/>
      <c r="K39" s="122" t="s">
        <v>117</v>
      </c>
      <c r="L39" s="159"/>
      <c r="M39" s="122" t="s">
        <v>557</v>
      </c>
      <c r="N39" s="159"/>
      <c r="O39" s="159">
        <v>2016</v>
      </c>
      <c r="P39" s="162" t="s">
        <v>750</v>
      </c>
      <c r="Q39" s="159">
        <v>0</v>
      </c>
      <c r="R39" s="159"/>
      <c r="S39" s="140">
        <v>0</v>
      </c>
      <c r="T39" s="159"/>
      <c r="U39" s="148">
        <v>16</v>
      </c>
      <c r="V39" s="159"/>
      <c r="W39" s="153">
        <f>16*150</f>
        <v>2400</v>
      </c>
      <c r="X39" s="159"/>
      <c r="Y39" s="214">
        <v>0</v>
      </c>
      <c r="Z39" s="159"/>
      <c r="AA39" s="140">
        <v>0</v>
      </c>
      <c r="AB39" s="159"/>
      <c r="AC39" s="148">
        <v>18</v>
      </c>
      <c r="AD39" s="159"/>
      <c r="AE39" s="153">
        <f>18*200</f>
        <v>3600</v>
      </c>
      <c r="AF39" s="148">
        <v>0</v>
      </c>
      <c r="AG39" s="159"/>
      <c r="AH39" s="153">
        <v>0</v>
      </c>
      <c r="AI39" s="159">
        <v>11</v>
      </c>
      <c r="AJ39" s="159"/>
      <c r="AK39" s="140">
        <v>2750</v>
      </c>
      <c r="AL39" s="159">
        <v>0</v>
      </c>
      <c r="AM39" s="159"/>
      <c r="AN39" s="140"/>
      <c r="AO39" s="295"/>
      <c r="AP39" s="295"/>
      <c r="AQ39" s="295"/>
      <c r="AR39" s="295"/>
      <c r="AS39" s="295"/>
      <c r="AT39" s="295"/>
      <c r="AU39" s="265" t="s">
        <v>797</v>
      </c>
    </row>
    <row r="40" spans="1:47" ht="46.15" customHeight="1" x14ac:dyDescent="0.2">
      <c r="A40" s="305" t="s">
        <v>528</v>
      </c>
      <c r="B40" s="121"/>
      <c r="C40" s="122" t="s">
        <v>558</v>
      </c>
      <c r="D40" s="159"/>
      <c r="E40" s="123" t="s">
        <v>595</v>
      </c>
      <c r="F40" s="122"/>
      <c r="G40" s="123" t="s">
        <v>536</v>
      </c>
      <c r="H40" s="122"/>
      <c r="I40" s="145">
        <v>110</v>
      </c>
      <c r="J40" s="159"/>
      <c r="K40" s="122" t="s">
        <v>117</v>
      </c>
      <c r="L40" s="159"/>
      <c r="M40" s="122" t="s">
        <v>557</v>
      </c>
      <c r="N40" s="159"/>
      <c r="O40" s="159">
        <v>2011</v>
      </c>
      <c r="P40" s="162" t="s">
        <v>750</v>
      </c>
      <c r="Q40" s="159">
        <v>18</v>
      </c>
      <c r="R40" s="159"/>
      <c r="S40" s="140">
        <f>18*110</f>
        <v>1980</v>
      </c>
      <c r="T40" s="159"/>
      <c r="U40" s="148">
        <v>0</v>
      </c>
      <c r="V40" s="159"/>
      <c r="W40" s="153">
        <v>0</v>
      </c>
      <c r="X40" s="159"/>
      <c r="Y40" s="214">
        <v>0</v>
      </c>
      <c r="Z40" s="159"/>
      <c r="AA40" s="140">
        <v>0</v>
      </c>
      <c r="AB40" s="159"/>
      <c r="AC40" s="148">
        <v>0</v>
      </c>
      <c r="AD40" s="159"/>
      <c r="AE40" s="153">
        <v>0</v>
      </c>
      <c r="AF40" s="148">
        <v>0</v>
      </c>
      <c r="AG40" s="159"/>
      <c r="AH40" s="153">
        <v>0</v>
      </c>
      <c r="AI40" s="148"/>
      <c r="AJ40" s="159"/>
      <c r="AK40" s="153"/>
      <c r="AL40" s="148"/>
      <c r="AM40" s="159"/>
      <c r="AN40" s="153"/>
      <c r="AU40" s="247" t="s">
        <v>797</v>
      </c>
    </row>
    <row r="41" spans="1:47" ht="46.15" customHeight="1" x14ac:dyDescent="0.2">
      <c r="A41" s="305" t="s">
        <v>528</v>
      </c>
      <c r="B41" s="121"/>
      <c r="C41" s="122" t="s">
        <v>558</v>
      </c>
      <c r="D41" s="159"/>
      <c r="E41" s="123" t="s">
        <v>596</v>
      </c>
      <c r="F41" s="122"/>
      <c r="G41" s="123" t="s">
        <v>536</v>
      </c>
      <c r="H41" s="122"/>
      <c r="I41" s="145">
        <v>40</v>
      </c>
      <c r="J41" s="159"/>
      <c r="K41" s="122" t="s">
        <v>117</v>
      </c>
      <c r="L41" s="159"/>
      <c r="M41" s="122" t="s">
        <v>557</v>
      </c>
      <c r="N41" s="159"/>
      <c r="O41" s="159">
        <v>2011</v>
      </c>
      <c r="P41" s="162" t="s">
        <v>750</v>
      </c>
      <c r="Q41" s="159">
        <v>13</v>
      </c>
      <c r="R41" s="159"/>
      <c r="S41" s="140">
        <f>13*40</f>
        <v>520</v>
      </c>
      <c r="T41" s="159"/>
      <c r="U41" s="148">
        <v>0</v>
      </c>
      <c r="V41" s="159"/>
      <c r="W41" s="153">
        <v>0</v>
      </c>
      <c r="X41" s="159"/>
      <c r="Y41" s="214">
        <v>0</v>
      </c>
      <c r="Z41" s="159"/>
      <c r="AA41" s="140">
        <v>0</v>
      </c>
      <c r="AB41" s="159"/>
      <c r="AC41" s="148">
        <v>13</v>
      </c>
      <c r="AD41" s="159"/>
      <c r="AE41" s="153">
        <f>13*85</f>
        <v>1105</v>
      </c>
      <c r="AF41" s="148">
        <v>0</v>
      </c>
      <c r="AG41" s="159"/>
      <c r="AH41" s="153">
        <v>0</v>
      </c>
      <c r="AI41" s="148"/>
      <c r="AJ41" s="159"/>
      <c r="AK41" s="153"/>
      <c r="AL41" s="148"/>
      <c r="AM41" s="159"/>
      <c r="AN41" s="153"/>
      <c r="AO41" s="295"/>
      <c r="AP41" s="295"/>
      <c r="AQ41" s="295"/>
      <c r="AR41" s="295"/>
      <c r="AS41" s="295"/>
      <c r="AT41" s="295"/>
      <c r="AU41" s="265" t="s">
        <v>797</v>
      </c>
    </row>
    <row r="42" spans="1:47" ht="46.15" customHeight="1" x14ac:dyDescent="0.2">
      <c r="A42" s="305" t="s">
        <v>528</v>
      </c>
      <c r="B42" s="121"/>
      <c r="C42" s="122" t="s">
        <v>558</v>
      </c>
      <c r="D42" s="159"/>
      <c r="E42" s="123" t="s">
        <v>863</v>
      </c>
      <c r="F42" s="122"/>
      <c r="G42" s="123" t="s">
        <v>536</v>
      </c>
      <c r="H42" s="122"/>
      <c r="I42" s="145">
        <v>150</v>
      </c>
      <c r="J42" s="159"/>
      <c r="K42" s="122" t="s">
        <v>117</v>
      </c>
      <c r="L42" s="159"/>
      <c r="M42" s="122" t="s">
        <v>557</v>
      </c>
      <c r="N42" s="159"/>
      <c r="O42" s="159">
        <v>2011</v>
      </c>
      <c r="P42" s="162" t="s">
        <v>750</v>
      </c>
      <c r="Q42" s="159">
        <v>7</v>
      </c>
      <c r="R42" s="159"/>
      <c r="S42" s="140">
        <f>7*150</f>
        <v>1050</v>
      </c>
      <c r="T42" s="159"/>
      <c r="U42" s="148">
        <v>4</v>
      </c>
      <c r="V42" s="159"/>
      <c r="W42" s="153">
        <f>4*150</f>
        <v>600</v>
      </c>
      <c r="X42" s="159"/>
      <c r="Y42" s="214">
        <v>0</v>
      </c>
      <c r="Z42" s="159">
        <v>0</v>
      </c>
      <c r="AA42" s="140">
        <v>0</v>
      </c>
      <c r="AB42" s="159"/>
      <c r="AC42" s="148">
        <v>5</v>
      </c>
      <c r="AD42" s="159"/>
      <c r="AE42" s="153">
        <f>5*150</f>
        <v>750</v>
      </c>
      <c r="AF42" s="148">
        <v>3</v>
      </c>
      <c r="AG42" s="159"/>
      <c r="AH42" s="153">
        <f>3*150</f>
        <v>450</v>
      </c>
      <c r="AI42" s="148"/>
      <c r="AJ42" s="159"/>
      <c r="AK42" s="153"/>
      <c r="AL42" s="148"/>
      <c r="AM42" s="159"/>
      <c r="AN42" s="153"/>
      <c r="AU42" s="247" t="s">
        <v>797</v>
      </c>
    </row>
    <row r="43" spans="1:47" ht="46.15" customHeight="1" x14ac:dyDescent="0.2">
      <c r="A43" s="305" t="s">
        <v>528</v>
      </c>
      <c r="B43" s="121"/>
      <c r="C43" s="122" t="s">
        <v>558</v>
      </c>
      <c r="D43" s="159"/>
      <c r="E43" s="123" t="s">
        <v>597</v>
      </c>
      <c r="F43" s="122"/>
      <c r="G43" s="123" t="s">
        <v>536</v>
      </c>
      <c r="H43" s="122"/>
      <c r="I43" s="145" t="s">
        <v>598</v>
      </c>
      <c r="J43" s="159"/>
      <c r="K43" s="122" t="s">
        <v>117</v>
      </c>
      <c r="L43" s="159"/>
      <c r="M43" s="122" t="s">
        <v>557</v>
      </c>
      <c r="N43" s="159"/>
      <c r="O43" s="159">
        <v>2011</v>
      </c>
      <c r="P43" s="162" t="s">
        <v>750</v>
      </c>
      <c r="Q43" s="122">
        <v>11</v>
      </c>
      <c r="R43" s="159"/>
      <c r="S43" s="146">
        <f>11*180</f>
        <v>1980</v>
      </c>
      <c r="T43" s="159"/>
      <c r="U43" s="159">
        <v>0</v>
      </c>
      <c r="V43" s="159"/>
      <c r="W43" s="140">
        <v>0</v>
      </c>
      <c r="X43" s="159"/>
      <c r="Y43" s="215">
        <v>14</v>
      </c>
      <c r="Z43" s="159"/>
      <c r="AA43" s="146">
        <f>14*180</f>
        <v>2520</v>
      </c>
      <c r="AB43" s="159"/>
      <c r="AC43" s="159">
        <v>6</v>
      </c>
      <c r="AD43" s="159"/>
      <c r="AE43" s="140">
        <f>6*250</f>
        <v>1500</v>
      </c>
      <c r="AF43" s="159">
        <v>0</v>
      </c>
      <c r="AG43" s="159"/>
      <c r="AH43" s="140">
        <v>0</v>
      </c>
      <c r="AI43" s="159"/>
      <c r="AJ43" s="159"/>
      <c r="AK43" s="140"/>
      <c r="AL43" s="159"/>
      <c r="AM43" s="159"/>
      <c r="AN43" s="140"/>
      <c r="AO43" s="295"/>
      <c r="AP43" s="295"/>
      <c r="AQ43" s="295"/>
      <c r="AR43" s="295"/>
      <c r="AS43" s="295"/>
      <c r="AT43" s="295"/>
      <c r="AU43" s="265" t="s">
        <v>797</v>
      </c>
    </row>
    <row r="44" spans="1:47" ht="46.15" customHeight="1" x14ac:dyDescent="0.2">
      <c r="A44" s="305" t="s">
        <v>528</v>
      </c>
      <c r="B44" s="121"/>
      <c r="C44" s="122" t="s">
        <v>558</v>
      </c>
      <c r="D44" s="159"/>
      <c r="E44" s="123" t="s">
        <v>541</v>
      </c>
      <c r="F44" s="122"/>
      <c r="G44" s="123" t="s">
        <v>536</v>
      </c>
      <c r="H44" s="122"/>
      <c r="I44" s="145" t="s">
        <v>564</v>
      </c>
      <c r="J44" s="159"/>
      <c r="K44" s="122" t="s">
        <v>117</v>
      </c>
      <c r="L44" s="159"/>
      <c r="M44" s="122" t="s">
        <v>557</v>
      </c>
      <c r="N44" s="159"/>
      <c r="O44" s="159">
        <v>2011</v>
      </c>
      <c r="P44" s="162" t="s">
        <v>750</v>
      </c>
      <c r="Q44" s="159">
        <v>7</v>
      </c>
      <c r="R44" s="159"/>
      <c r="S44" s="140">
        <f>7*270</f>
        <v>1890</v>
      </c>
      <c r="T44" s="159"/>
      <c r="U44" s="148">
        <v>13</v>
      </c>
      <c r="V44" s="159"/>
      <c r="W44" s="153">
        <f>13*275</f>
        <v>3575</v>
      </c>
      <c r="X44" s="159"/>
      <c r="Y44" s="214">
        <v>4</v>
      </c>
      <c r="Z44" s="159"/>
      <c r="AA44" s="140">
        <f>4*250</f>
        <v>1000</v>
      </c>
      <c r="AB44" s="159"/>
      <c r="AC44" s="148">
        <v>0</v>
      </c>
      <c r="AD44" s="159"/>
      <c r="AE44" s="153">
        <v>0</v>
      </c>
      <c r="AF44" s="148">
        <v>13</v>
      </c>
      <c r="AG44" s="159"/>
      <c r="AH44" s="153">
        <f>13*250</f>
        <v>3250</v>
      </c>
      <c r="AI44" s="148"/>
      <c r="AJ44" s="159"/>
      <c r="AK44" s="153"/>
      <c r="AL44" s="148"/>
      <c r="AM44" s="159"/>
      <c r="AN44" s="153"/>
      <c r="AU44" s="247" t="s">
        <v>797</v>
      </c>
    </row>
    <row r="45" spans="1:47" ht="46.15" customHeight="1" x14ac:dyDescent="0.2">
      <c r="A45" s="305" t="s">
        <v>528</v>
      </c>
      <c r="B45" s="159"/>
      <c r="C45" s="122" t="s">
        <v>558</v>
      </c>
      <c r="D45" s="159"/>
      <c r="E45" s="123" t="s">
        <v>542</v>
      </c>
      <c r="F45" s="122"/>
      <c r="G45" s="123" t="s">
        <v>536</v>
      </c>
      <c r="H45" s="122"/>
      <c r="I45" s="145">
        <v>75</v>
      </c>
      <c r="J45" s="159"/>
      <c r="K45" s="122" t="s">
        <v>117</v>
      </c>
      <c r="L45" s="159"/>
      <c r="M45" s="122" t="s">
        <v>557</v>
      </c>
      <c r="N45" s="159"/>
      <c r="O45" s="159">
        <v>2011</v>
      </c>
      <c r="P45" s="162" t="s">
        <v>750</v>
      </c>
      <c r="Q45" s="159">
        <v>20</v>
      </c>
      <c r="R45" s="159"/>
      <c r="S45" s="140">
        <f>20*75</f>
        <v>1500</v>
      </c>
      <c r="T45" s="159"/>
      <c r="U45" s="148">
        <v>19</v>
      </c>
      <c r="V45" s="159"/>
      <c r="W45" s="153">
        <f>19*75</f>
        <v>1425</v>
      </c>
      <c r="X45" s="159"/>
      <c r="Y45" s="214">
        <v>0</v>
      </c>
      <c r="Z45" s="159"/>
      <c r="AA45" s="140">
        <v>0</v>
      </c>
      <c r="AB45" s="159"/>
      <c r="AC45" s="148">
        <v>0</v>
      </c>
      <c r="AD45" s="159"/>
      <c r="AE45" s="153">
        <v>0</v>
      </c>
      <c r="AF45" s="148">
        <v>0</v>
      </c>
      <c r="AG45" s="159"/>
      <c r="AH45" s="153">
        <v>0</v>
      </c>
      <c r="AI45" s="148"/>
      <c r="AJ45" s="159"/>
      <c r="AK45" s="153"/>
      <c r="AL45" s="148"/>
      <c r="AM45" s="159"/>
      <c r="AN45" s="153"/>
      <c r="AO45" s="295"/>
      <c r="AP45" s="295"/>
      <c r="AQ45" s="295"/>
      <c r="AR45" s="295"/>
      <c r="AS45" s="295"/>
      <c r="AT45" s="295"/>
      <c r="AU45" s="265" t="s">
        <v>797</v>
      </c>
    </row>
    <row r="46" spans="1:47" ht="46.15" customHeight="1" x14ac:dyDescent="0.2">
      <c r="A46" s="305" t="s">
        <v>528</v>
      </c>
      <c r="B46" s="159"/>
      <c r="C46" s="122" t="s">
        <v>558</v>
      </c>
      <c r="D46" s="159"/>
      <c r="E46" s="123" t="s">
        <v>599</v>
      </c>
      <c r="F46" s="122"/>
      <c r="G46" s="123" t="s">
        <v>536</v>
      </c>
      <c r="H46" s="122"/>
      <c r="I46" s="145" t="s">
        <v>581</v>
      </c>
      <c r="J46" s="159"/>
      <c r="K46" s="122" t="s">
        <v>117</v>
      </c>
      <c r="L46" s="159"/>
      <c r="M46" s="122" t="s">
        <v>557</v>
      </c>
      <c r="N46" s="159"/>
      <c r="O46" s="159">
        <v>2011</v>
      </c>
      <c r="P46" s="162" t="s">
        <v>750</v>
      </c>
      <c r="Q46" s="159">
        <v>0</v>
      </c>
      <c r="R46" s="159"/>
      <c r="S46" s="140">
        <v>0</v>
      </c>
      <c r="T46" s="159"/>
      <c r="U46" s="148">
        <v>0</v>
      </c>
      <c r="V46" s="159"/>
      <c r="W46" s="153">
        <v>0</v>
      </c>
      <c r="X46" s="159"/>
      <c r="Y46" s="214">
        <v>0</v>
      </c>
      <c r="Z46" s="159"/>
      <c r="AA46" s="140" t="s">
        <v>707</v>
      </c>
      <c r="AB46" s="159"/>
      <c r="AC46" s="148">
        <v>0</v>
      </c>
      <c r="AD46" s="159"/>
      <c r="AE46" s="153">
        <v>0</v>
      </c>
      <c r="AF46" s="148">
        <v>0</v>
      </c>
      <c r="AG46" s="159"/>
      <c r="AH46" s="153">
        <v>0</v>
      </c>
      <c r="AI46" s="159">
        <v>28</v>
      </c>
      <c r="AJ46" s="159"/>
      <c r="AK46" s="140">
        <v>0</v>
      </c>
      <c r="AL46" s="148"/>
      <c r="AM46" s="159"/>
      <c r="AN46" s="153"/>
      <c r="AU46" s="247" t="s">
        <v>797</v>
      </c>
    </row>
    <row r="47" spans="1:47" ht="46.15" customHeight="1" x14ac:dyDescent="0.2">
      <c r="A47" s="305" t="s">
        <v>528</v>
      </c>
      <c r="B47" s="159"/>
      <c r="C47" s="122" t="s">
        <v>558</v>
      </c>
      <c r="D47" s="159"/>
      <c r="E47" s="123" t="s">
        <v>543</v>
      </c>
      <c r="F47" s="122"/>
      <c r="G47" s="123" t="s">
        <v>536</v>
      </c>
      <c r="H47" s="122"/>
      <c r="I47" s="145">
        <v>50</v>
      </c>
      <c r="J47" s="159"/>
      <c r="K47" s="122" t="s">
        <v>117</v>
      </c>
      <c r="L47" s="159"/>
      <c r="M47" s="122" t="s">
        <v>557</v>
      </c>
      <c r="N47" s="159"/>
      <c r="O47" s="159">
        <v>2011</v>
      </c>
      <c r="P47" s="162" t="s">
        <v>750</v>
      </c>
      <c r="Q47" s="159">
        <v>0</v>
      </c>
      <c r="R47" s="159"/>
      <c r="S47" s="140">
        <v>0</v>
      </c>
      <c r="T47" s="159"/>
      <c r="U47" s="148">
        <v>20</v>
      </c>
      <c r="V47" s="159"/>
      <c r="W47" s="153">
        <f>20*50</f>
        <v>1000</v>
      </c>
      <c r="X47" s="159"/>
      <c r="Y47" s="214">
        <v>0</v>
      </c>
      <c r="Z47" s="159"/>
      <c r="AA47" s="140">
        <v>0</v>
      </c>
      <c r="AB47" s="159"/>
      <c r="AC47" s="148">
        <v>0</v>
      </c>
      <c r="AD47" s="159"/>
      <c r="AE47" s="153">
        <v>0</v>
      </c>
      <c r="AF47" s="148">
        <v>0</v>
      </c>
      <c r="AG47" s="159"/>
      <c r="AH47" s="153">
        <v>0</v>
      </c>
      <c r="AI47" s="148"/>
      <c r="AJ47" s="159"/>
      <c r="AK47" s="153"/>
      <c r="AL47" s="148"/>
      <c r="AM47" s="159"/>
      <c r="AN47" s="153"/>
      <c r="AO47" s="295"/>
      <c r="AP47" s="295"/>
      <c r="AQ47" s="295"/>
      <c r="AR47" s="295"/>
      <c r="AS47" s="295"/>
      <c r="AT47" s="295"/>
      <c r="AU47" s="265" t="s">
        <v>797</v>
      </c>
    </row>
    <row r="48" spans="1:47" ht="46.15" customHeight="1" x14ac:dyDescent="0.2">
      <c r="A48" s="305"/>
      <c r="B48" s="159"/>
      <c r="C48" s="122"/>
      <c r="D48" s="159"/>
      <c r="E48" s="123" t="s">
        <v>711</v>
      </c>
      <c r="F48" s="122"/>
      <c r="G48" s="123" t="s">
        <v>536</v>
      </c>
      <c r="H48" s="122"/>
      <c r="I48" s="145" t="s">
        <v>707</v>
      </c>
      <c r="J48" s="159"/>
      <c r="K48" s="122" t="s">
        <v>117</v>
      </c>
      <c r="L48" s="159"/>
      <c r="M48" s="122" t="s">
        <v>557</v>
      </c>
      <c r="N48" s="159"/>
      <c r="O48" s="159"/>
      <c r="P48" s="162" t="s">
        <v>750</v>
      </c>
      <c r="Q48" s="159">
        <v>0</v>
      </c>
      <c r="R48" s="159"/>
      <c r="S48" s="140">
        <v>0</v>
      </c>
      <c r="T48" s="159"/>
      <c r="U48" s="148">
        <v>0</v>
      </c>
      <c r="V48" s="159"/>
      <c r="W48" s="153">
        <v>0</v>
      </c>
      <c r="X48" s="159"/>
      <c r="Y48" s="214">
        <v>0</v>
      </c>
      <c r="Z48" s="159"/>
      <c r="AA48" s="140">
        <v>0</v>
      </c>
      <c r="AB48" s="159"/>
      <c r="AC48" s="148">
        <v>0</v>
      </c>
      <c r="AD48" s="159"/>
      <c r="AE48" s="153">
        <v>0</v>
      </c>
      <c r="AF48" s="148">
        <v>50</v>
      </c>
      <c r="AG48" s="159"/>
      <c r="AH48" s="153">
        <f>50*225</f>
        <v>11250</v>
      </c>
      <c r="AI48" s="148"/>
      <c r="AJ48" s="159"/>
      <c r="AK48" s="153"/>
      <c r="AL48" s="148"/>
      <c r="AM48" s="159"/>
      <c r="AN48" s="153"/>
      <c r="AU48" s="247" t="s">
        <v>797</v>
      </c>
    </row>
    <row r="49" spans="1:47" ht="46.15" customHeight="1" x14ac:dyDescent="0.2">
      <c r="A49" s="305" t="s">
        <v>528</v>
      </c>
      <c r="B49" s="159"/>
      <c r="C49" s="122" t="s">
        <v>558</v>
      </c>
      <c r="D49" s="159"/>
      <c r="E49" s="123" t="s">
        <v>600</v>
      </c>
      <c r="F49" s="122"/>
      <c r="G49" s="123" t="s">
        <v>536</v>
      </c>
      <c r="H49" s="122"/>
      <c r="I49" s="145">
        <v>295</v>
      </c>
      <c r="J49" s="159"/>
      <c r="K49" s="122" t="s">
        <v>117</v>
      </c>
      <c r="L49" s="159"/>
      <c r="M49" s="122" t="s">
        <v>557</v>
      </c>
      <c r="N49" s="159"/>
      <c r="O49" s="159">
        <v>2011</v>
      </c>
      <c r="P49" s="162" t="s">
        <v>750</v>
      </c>
      <c r="Q49" s="159">
        <v>23</v>
      </c>
      <c r="R49" s="159"/>
      <c r="S49" s="140">
        <f>23*295</f>
        <v>6785</v>
      </c>
      <c r="T49" s="159"/>
      <c r="U49" s="148">
        <v>0</v>
      </c>
      <c r="V49" s="159"/>
      <c r="W49" s="153">
        <v>0</v>
      </c>
      <c r="X49" s="159"/>
      <c r="Y49" s="214">
        <v>0</v>
      </c>
      <c r="Z49" s="159"/>
      <c r="AA49" s="140" t="s">
        <v>707</v>
      </c>
      <c r="AB49" s="159"/>
      <c r="AC49" s="148">
        <v>0</v>
      </c>
      <c r="AD49" s="159"/>
      <c r="AE49" s="153">
        <v>0</v>
      </c>
      <c r="AF49" s="148">
        <v>0</v>
      </c>
      <c r="AG49" s="159"/>
      <c r="AH49" s="153">
        <v>0</v>
      </c>
      <c r="AI49" s="148"/>
      <c r="AJ49" s="159"/>
      <c r="AK49" s="153"/>
      <c r="AL49" s="148"/>
      <c r="AM49" s="159"/>
      <c r="AN49" s="153"/>
      <c r="AO49" s="295"/>
      <c r="AP49" s="295"/>
      <c r="AQ49" s="295"/>
      <c r="AR49" s="295"/>
      <c r="AS49" s="295"/>
      <c r="AT49" s="295"/>
      <c r="AU49" s="265" t="s">
        <v>797</v>
      </c>
    </row>
    <row r="50" spans="1:47" ht="46.15" customHeight="1" x14ac:dyDescent="0.2">
      <c r="A50" s="305" t="s">
        <v>528</v>
      </c>
      <c r="B50" s="159"/>
      <c r="C50" s="122" t="s">
        <v>558</v>
      </c>
      <c r="D50" s="159"/>
      <c r="E50" s="123" t="s">
        <v>601</v>
      </c>
      <c r="F50" s="122"/>
      <c r="G50" s="123" t="s">
        <v>536</v>
      </c>
      <c r="H50" s="122"/>
      <c r="I50" s="145">
        <v>550</v>
      </c>
      <c r="J50" s="159"/>
      <c r="K50" s="122" t="s">
        <v>117</v>
      </c>
      <c r="L50" s="159"/>
      <c r="M50" s="122" t="s">
        <v>557</v>
      </c>
      <c r="N50" s="159"/>
      <c r="O50" s="159">
        <v>2011</v>
      </c>
      <c r="P50" s="162" t="s">
        <v>750</v>
      </c>
      <c r="Q50" s="159">
        <v>43</v>
      </c>
      <c r="R50" s="159"/>
      <c r="S50" s="140">
        <f>43*550</f>
        <v>23650</v>
      </c>
      <c r="T50" s="159"/>
      <c r="U50" s="148">
        <v>29</v>
      </c>
      <c r="V50" s="159"/>
      <c r="W50" s="153">
        <f>29*550</f>
        <v>15950</v>
      </c>
      <c r="X50" s="159"/>
      <c r="Y50" s="214">
        <v>31</v>
      </c>
      <c r="Z50" s="159"/>
      <c r="AA50" s="140">
        <f>31*550</f>
        <v>17050</v>
      </c>
      <c r="AB50" s="159"/>
      <c r="AC50" s="148">
        <v>26</v>
      </c>
      <c r="AD50" s="159"/>
      <c r="AE50" s="153">
        <f>26*595</f>
        <v>15470</v>
      </c>
      <c r="AF50" s="148">
        <v>0</v>
      </c>
      <c r="AG50" s="159"/>
      <c r="AH50" s="153">
        <v>0</v>
      </c>
      <c r="AI50" s="148"/>
      <c r="AJ50" s="159"/>
      <c r="AK50" s="153"/>
      <c r="AL50" s="148"/>
      <c r="AM50" s="159"/>
      <c r="AN50" s="153"/>
      <c r="AU50" s="247" t="s">
        <v>797</v>
      </c>
    </row>
    <row r="51" spans="1:47" ht="46.15" customHeight="1" x14ac:dyDescent="0.2">
      <c r="A51" s="305" t="s">
        <v>528</v>
      </c>
      <c r="B51" s="159"/>
      <c r="C51" s="122" t="s">
        <v>558</v>
      </c>
      <c r="D51" s="159"/>
      <c r="E51" s="123" t="s">
        <v>602</v>
      </c>
      <c r="F51" s="122"/>
      <c r="G51" s="123" t="s">
        <v>536</v>
      </c>
      <c r="H51" s="122"/>
      <c r="I51" s="145" t="s">
        <v>581</v>
      </c>
      <c r="J51" s="159"/>
      <c r="K51" s="122" t="s">
        <v>117</v>
      </c>
      <c r="L51" s="159"/>
      <c r="M51" s="122" t="s">
        <v>557</v>
      </c>
      <c r="N51" s="159"/>
      <c r="O51" s="159">
        <v>2011</v>
      </c>
      <c r="P51" s="162" t="s">
        <v>750</v>
      </c>
      <c r="Q51" s="159">
        <v>0</v>
      </c>
      <c r="R51" s="159"/>
      <c r="S51" s="140">
        <v>0</v>
      </c>
      <c r="T51" s="159"/>
      <c r="U51" s="148">
        <v>0</v>
      </c>
      <c r="V51" s="159"/>
      <c r="W51" s="153">
        <v>0</v>
      </c>
      <c r="X51" s="159"/>
      <c r="Y51" s="214">
        <v>0</v>
      </c>
      <c r="Z51" s="159"/>
      <c r="AA51" s="140">
        <v>0</v>
      </c>
      <c r="AB51" s="159"/>
      <c r="AC51" s="148">
        <v>0</v>
      </c>
      <c r="AD51" s="159"/>
      <c r="AE51" s="153">
        <v>0</v>
      </c>
      <c r="AF51" s="148">
        <v>0</v>
      </c>
      <c r="AG51" s="159"/>
      <c r="AH51" s="153">
        <v>0</v>
      </c>
      <c r="AI51" s="148"/>
      <c r="AJ51" s="159"/>
      <c r="AK51" s="153"/>
      <c r="AL51" s="148"/>
      <c r="AM51" s="159"/>
      <c r="AN51" s="153"/>
      <c r="AO51" s="295"/>
      <c r="AP51" s="295"/>
      <c r="AQ51" s="295"/>
      <c r="AR51" s="295"/>
      <c r="AS51" s="295"/>
      <c r="AT51" s="295"/>
      <c r="AU51" s="265" t="s">
        <v>797</v>
      </c>
    </row>
    <row r="52" spans="1:47" ht="46.15" customHeight="1" x14ac:dyDescent="0.2">
      <c r="A52" s="305" t="s">
        <v>528</v>
      </c>
      <c r="B52" s="159"/>
      <c r="C52" s="122" t="s">
        <v>558</v>
      </c>
      <c r="D52" s="159"/>
      <c r="E52" s="123" t="s">
        <v>603</v>
      </c>
      <c r="F52" s="122"/>
      <c r="G52" s="123" t="s">
        <v>536</v>
      </c>
      <c r="H52" s="122"/>
      <c r="I52" s="145">
        <v>30</v>
      </c>
      <c r="J52" s="159"/>
      <c r="K52" s="122" t="s">
        <v>117</v>
      </c>
      <c r="L52" s="159"/>
      <c r="M52" s="122" t="s">
        <v>557</v>
      </c>
      <c r="N52" s="159"/>
      <c r="O52" s="159">
        <v>2011</v>
      </c>
      <c r="P52" s="162" t="s">
        <v>750</v>
      </c>
      <c r="Q52" s="159">
        <v>22</v>
      </c>
      <c r="R52" s="159"/>
      <c r="S52" s="140">
        <f>22*30</f>
        <v>660</v>
      </c>
      <c r="T52" s="159"/>
      <c r="U52" s="148">
        <v>0</v>
      </c>
      <c r="V52" s="159"/>
      <c r="W52" s="153">
        <v>0</v>
      </c>
      <c r="X52" s="159"/>
      <c r="Y52" s="214">
        <v>0</v>
      </c>
      <c r="Z52" s="159"/>
      <c r="AA52" s="140">
        <v>0</v>
      </c>
      <c r="AB52" s="159"/>
      <c r="AC52" s="148">
        <v>0</v>
      </c>
      <c r="AD52" s="159"/>
      <c r="AE52" s="153">
        <v>0</v>
      </c>
      <c r="AF52" s="148">
        <v>0</v>
      </c>
      <c r="AG52" s="159"/>
      <c r="AH52" s="153">
        <v>0</v>
      </c>
      <c r="AI52" s="148"/>
      <c r="AJ52" s="159"/>
      <c r="AK52" s="153"/>
      <c r="AL52" s="148"/>
      <c r="AM52" s="159"/>
      <c r="AN52" s="153"/>
      <c r="AU52" s="247" t="s">
        <v>797</v>
      </c>
    </row>
    <row r="53" spans="1:47" ht="46.15" customHeight="1" x14ac:dyDescent="0.2">
      <c r="A53" s="305" t="s">
        <v>528</v>
      </c>
      <c r="B53" s="159"/>
      <c r="C53" s="122" t="s">
        <v>558</v>
      </c>
      <c r="D53" s="159"/>
      <c r="E53" s="123" t="s">
        <v>604</v>
      </c>
      <c r="F53" s="122"/>
      <c r="G53" s="123" t="s">
        <v>536</v>
      </c>
      <c r="H53" s="122"/>
      <c r="I53" s="145">
        <v>50</v>
      </c>
      <c r="J53" s="159"/>
      <c r="K53" s="122" t="s">
        <v>117</v>
      </c>
      <c r="L53" s="159"/>
      <c r="M53" s="122" t="s">
        <v>557</v>
      </c>
      <c r="N53" s="159"/>
      <c r="O53" s="159">
        <v>2016</v>
      </c>
      <c r="P53" s="162" t="s">
        <v>750</v>
      </c>
      <c r="Q53" s="159">
        <v>8</v>
      </c>
      <c r="R53" s="159"/>
      <c r="S53" s="140">
        <f>8*80</f>
        <v>640</v>
      </c>
      <c r="T53" s="159"/>
      <c r="U53" s="148">
        <v>0</v>
      </c>
      <c r="V53" s="159"/>
      <c r="W53" s="153">
        <v>0</v>
      </c>
      <c r="X53" s="159"/>
      <c r="Y53" s="214">
        <v>8</v>
      </c>
      <c r="Z53" s="159"/>
      <c r="AA53" s="140">
        <f>8*80</f>
        <v>640</v>
      </c>
      <c r="AB53" s="159"/>
      <c r="AC53" s="148">
        <v>0</v>
      </c>
      <c r="AD53" s="159"/>
      <c r="AE53" s="153">
        <v>0</v>
      </c>
      <c r="AF53" s="148">
        <v>18</v>
      </c>
      <c r="AG53" s="159"/>
      <c r="AH53" s="153">
        <f>18*50</f>
        <v>900</v>
      </c>
      <c r="AI53" s="159">
        <v>19</v>
      </c>
      <c r="AJ53" s="159"/>
      <c r="AK53" s="140">
        <v>950</v>
      </c>
      <c r="AL53" s="148"/>
      <c r="AM53" s="159"/>
      <c r="AN53" s="153"/>
      <c r="AO53" s="295"/>
      <c r="AP53" s="295"/>
      <c r="AQ53" s="295"/>
      <c r="AR53" s="295"/>
      <c r="AS53" s="295"/>
      <c r="AT53" s="295"/>
      <c r="AU53" s="265" t="s">
        <v>797</v>
      </c>
    </row>
    <row r="54" spans="1:47" ht="46.15" customHeight="1" x14ac:dyDescent="0.2">
      <c r="A54" s="305" t="s">
        <v>528</v>
      </c>
      <c r="B54" s="159"/>
      <c r="C54" s="122" t="s">
        <v>558</v>
      </c>
      <c r="D54" s="159"/>
      <c r="E54" s="123" t="s">
        <v>605</v>
      </c>
      <c r="F54" s="122"/>
      <c r="G54" s="123" t="s">
        <v>536</v>
      </c>
      <c r="H54" s="122"/>
      <c r="I54" s="145">
        <v>100</v>
      </c>
      <c r="J54" s="159"/>
      <c r="K54" s="122" t="s">
        <v>117</v>
      </c>
      <c r="L54" s="159"/>
      <c r="M54" s="122" t="s">
        <v>557</v>
      </c>
      <c r="N54" s="159"/>
      <c r="O54" s="159">
        <v>2011</v>
      </c>
      <c r="P54" s="162" t="s">
        <v>750</v>
      </c>
      <c r="Q54" s="159">
        <v>65</v>
      </c>
      <c r="R54" s="159"/>
      <c r="S54" s="140">
        <f>65*100</f>
        <v>6500</v>
      </c>
      <c r="T54" s="159"/>
      <c r="U54" s="148">
        <v>0</v>
      </c>
      <c r="V54" s="159"/>
      <c r="W54" s="153">
        <v>0</v>
      </c>
      <c r="X54" s="159"/>
      <c r="Y54" s="214">
        <v>0</v>
      </c>
      <c r="Z54" s="159"/>
      <c r="AA54" s="140">
        <v>0</v>
      </c>
      <c r="AB54" s="159"/>
      <c r="AC54" s="148">
        <v>0</v>
      </c>
      <c r="AD54" s="159"/>
      <c r="AE54" s="153">
        <v>0</v>
      </c>
      <c r="AF54" s="148">
        <v>0</v>
      </c>
      <c r="AG54" s="159"/>
      <c r="AH54" s="153">
        <v>0</v>
      </c>
      <c r="AI54" s="148"/>
      <c r="AJ54" s="159"/>
      <c r="AK54" s="153"/>
      <c r="AL54" s="148"/>
      <c r="AM54" s="159"/>
      <c r="AN54" s="153"/>
      <c r="AU54" s="247" t="s">
        <v>797</v>
      </c>
    </row>
    <row r="55" spans="1:47" ht="46.15" customHeight="1" x14ac:dyDescent="0.2">
      <c r="A55" s="305" t="s">
        <v>528</v>
      </c>
      <c r="B55" s="159"/>
      <c r="C55" s="122" t="s">
        <v>558</v>
      </c>
      <c r="D55" s="159"/>
      <c r="E55" s="123" t="s">
        <v>606</v>
      </c>
      <c r="F55" s="122"/>
      <c r="G55" s="123" t="s">
        <v>536</v>
      </c>
      <c r="H55" s="122"/>
      <c r="I55" s="145">
        <v>75</v>
      </c>
      <c r="J55" s="159"/>
      <c r="K55" s="122" t="s">
        <v>117</v>
      </c>
      <c r="L55" s="159"/>
      <c r="M55" s="122" t="s">
        <v>557</v>
      </c>
      <c r="N55" s="159"/>
      <c r="O55" s="159">
        <v>2011</v>
      </c>
      <c r="P55" s="162" t="s">
        <v>750</v>
      </c>
      <c r="Q55" s="159">
        <v>31</v>
      </c>
      <c r="R55" s="159"/>
      <c r="S55" s="140">
        <f>31*75</f>
        <v>2325</v>
      </c>
      <c r="T55" s="159"/>
      <c r="U55" s="148">
        <v>0</v>
      </c>
      <c r="V55" s="159"/>
      <c r="W55" s="153">
        <v>0</v>
      </c>
      <c r="X55" s="159"/>
      <c r="Y55" s="214">
        <v>0</v>
      </c>
      <c r="Z55" s="159"/>
      <c r="AA55" s="140">
        <v>0</v>
      </c>
      <c r="AB55" s="159"/>
      <c r="AC55" s="148">
        <v>0</v>
      </c>
      <c r="AD55" s="159"/>
      <c r="AE55" s="153">
        <v>0</v>
      </c>
      <c r="AF55" s="148">
        <v>0</v>
      </c>
      <c r="AG55" s="159"/>
      <c r="AH55" s="153">
        <v>0</v>
      </c>
      <c r="AI55" s="148"/>
      <c r="AJ55" s="159"/>
      <c r="AK55" s="153"/>
      <c r="AL55" s="148"/>
      <c r="AM55" s="159"/>
      <c r="AN55" s="153"/>
      <c r="AO55" s="295"/>
      <c r="AP55" s="295"/>
      <c r="AQ55" s="295"/>
      <c r="AR55" s="295"/>
      <c r="AS55" s="295"/>
      <c r="AT55" s="295"/>
      <c r="AU55" s="265" t="s">
        <v>797</v>
      </c>
    </row>
    <row r="56" spans="1:47" ht="46.15" customHeight="1" x14ac:dyDescent="0.2">
      <c r="A56" s="305" t="s">
        <v>528</v>
      </c>
      <c r="B56" s="159"/>
      <c r="C56" s="122" t="s">
        <v>558</v>
      </c>
      <c r="D56" s="159"/>
      <c r="E56" s="123" t="s">
        <v>607</v>
      </c>
      <c r="F56" s="122"/>
      <c r="G56" s="123" t="s">
        <v>536</v>
      </c>
      <c r="H56" s="122"/>
      <c r="I56" s="145" t="s">
        <v>608</v>
      </c>
      <c r="J56" s="159"/>
      <c r="K56" s="122" t="s">
        <v>117</v>
      </c>
      <c r="L56" s="159"/>
      <c r="M56" s="122" t="s">
        <v>557</v>
      </c>
      <c r="N56" s="159"/>
      <c r="O56" s="159">
        <v>2011</v>
      </c>
      <c r="P56" s="162" t="s">
        <v>750</v>
      </c>
      <c r="Q56" s="159">
        <v>0</v>
      </c>
      <c r="R56" s="159"/>
      <c r="S56" s="140">
        <v>0</v>
      </c>
      <c r="T56" s="159"/>
      <c r="U56" s="148">
        <v>17</v>
      </c>
      <c r="V56" s="159"/>
      <c r="W56" s="153">
        <f>17*75</f>
        <v>1275</v>
      </c>
      <c r="X56" s="159"/>
      <c r="Y56" s="214">
        <v>13</v>
      </c>
      <c r="Z56" s="159"/>
      <c r="AA56" s="140">
        <f>13*100</f>
        <v>1300</v>
      </c>
      <c r="AB56" s="159"/>
      <c r="AC56" s="148">
        <v>18</v>
      </c>
      <c r="AD56" s="159"/>
      <c r="AE56" s="153">
        <f>18*100</f>
        <v>1800</v>
      </c>
      <c r="AF56" s="148">
        <v>0</v>
      </c>
      <c r="AG56" s="159"/>
      <c r="AH56" s="153">
        <v>0</v>
      </c>
      <c r="AI56" s="148"/>
      <c r="AJ56" s="159"/>
      <c r="AK56" s="153"/>
      <c r="AL56" s="148"/>
      <c r="AM56" s="159"/>
      <c r="AN56" s="153"/>
      <c r="AU56" s="247" t="s">
        <v>797</v>
      </c>
    </row>
    <row r="57" spans="1:47" ht="46.15" customHeight="1" x14ac:dyDescent="0.2">
      <c r="A57" s="305" t="s">
        <v>528</v>
      </c>
      <c r="B57" s="159"/>
      <c r="C57" s="122" t="s">
        <v>558</v>
      </c>
      <c r="D57" s="159"/>
      <c r="E57" s="123" t="s">
        <v>609</v>
      </c>
      <c r="F57" s="122"/>
      <c r="G57" s="123" t="s">
        <v>536</v>
      </c>
      <c r="H57" s="122"/>
      <c r="I57" s="145" t="s">
        <v>610</v>
      </c>
      <c r="J57" s="159"/>
      <c r="K57" s="122" t="s">
        <v>117</v>
      </c>
      <c r="L57" s="159"/>
      <c r="M57" s="122" t="s">
        <v>557</v>
      </c>
      <c r="N57" s="159"/>
      <c r="O57" s="159">
        <v>2011</v>
      </c>
      <c r="P57" s="162" t="s">
        <v>750</v>
      </c>
      <c r="Q57" s="159">
        <v>27</v>
      </c>
      <c r="R57" s="159"/>
      <c r="S57" s="140">
        <f>27*75</f>
        <v>2025</v>
      </c>
      <c r="T57" s="159"/>
      <c r="U57" s="148">
        <v>20</v>
      </c>
      <c r="V57" s="159"/>
      <c r="W57" s="153">
        <f>20*85</f>
        <v>1700</v>
      </c>
      <c r="X57" s="159"/>
      <c r="Y57" s="214">
        <v>0</v>
      </c>
      <c r="Z57" s="159"/>
      <c r="AA57" s="140">
        <v>0</v>
      </c>
      <c r="AB57" s="159"/>
      <c r="AC57" s="148">
        <v>0</v>
      </c>
      <c r="AD57" s="159"/>
      <c r="AE57" s="153">
        <v>0</v>
      </c>
      <c r="AF57" s="148">
        <v>0</v>
      </c>
      <c r="AG57" s="159"/>
      <c r="AH57" s="153">
        <v>0</v>
      </c>
      <c r="AI57" s="148"/>
      <c r="AJ57" s="159"/>
      <c r="AK57" s="153"/>
      <c r="AL57" s="148"/>
      <c r="AM57" s="159"/>
      <c r="AN57" s="153"/>
      <c r="AO57" s="295"/>
      <c r="AP57" s="295"/>
      <c r="AQ57" s="295"/>
      <c r="AR57" s="295"/>
      <c r="AS57" s="295"/>
      <c r="AT57" s="295"/>
      <c r="AU57" s="265" t="s">
        <v>797</v>
      </c>
    </row>
    <row r="58" spans="1:47" ht="46.15" customHeight="1" x14ac:dyDescent="0.2">
      <c r="A58" s="305" t="s">
        <v>528</v>
      </c>
      <c r="B58" s="159"/>
      <c r="C58" s="122" t="s">
        <v>558</v>
      </c>
      <c r="D58" s="159"/>
      <c r="E58" s="123" t="s">
        <v>611</v>
      </c>
      <c r="F58" s="122"/>
      <c r="G58" s="123" t="s">
        <v>536</v>
      </c>
      <c r="H58" s="122"/>
      <c r="I58" s="145">
        <v>290</v>
      </c>
      <c r="J58" s="159"/>
      <c r="K58" s="122" t="s">
        <v>117</v>
      </c>
      <c r="L58" s="159"/>
      <c r="M58" s="122" t="s">
        <v>557</v>
      </c>
      <c r="N58" s="159"/>
      <c r="O58" s="159">
        <v>2011</v>
      </c>
      <c r="P58" s="162" t="s">
        <v>750</v>
      </c>
      <c r="Q58" s="159">
        <v>8</v>
      </c>
      <c r="R58" s="159"/>
      <c r="S58" s="140">
        <f>8*290</f>
        <v>2320</v>
      </c>
      <c r="T58" s="159"/>
      <c r="U58" s="148">
        <v>1</v>
      </c>
      <c r="V58" s="159"/>
      <c r="W58" s="153">
        <f>1*290</f>
        <v>290</v>
      </c>
      <c r="X58" s="159"/>
      <c r="Y58" s="214">
        <v>0</v>
      </c>
      <c r="Z58" s="159"/>
      <c r="AA58" s="140">
        <v>0</v>
      </c>
      <c r="AB58" s="159"/>
      <c r="AC58" s="148">
        <v>0</v>
      </c>
      <c r="AD58" s="159"/>
      <c r="AE58" s="153">
        <v>0</v>
      </c>
      <c r="AF58" s="148">
        <v>0</v>
      </c>
      <c r="AG58" s="159"/>
      <c r="AH58" s="153">
        <v>0</v>
      </c>
      <c r="AI58" s="148"/>
      <c r="AJ58" s="159"/>
      <c r="AK58" s="153"/>
      <c r="AL58" s="148"/>
      <c r="AM58" s="159"/>
      <c r="AN58" s="153"/>
      <c r="AU58" s="247" t="s">
        <v>797</v>
      </c>
    </row>
    <row r="59" spans="1:47" ht="46.15" customHeight="1" x14ac:dyDescent="0.2">
      <c r="A59" s="305" t="s">
        <v>528</v>
      </c>
      <c r="B59" s="159"/>
      <c r="C59" s="122" t="s">
        <v>558</v>
      </c>
      <c r="D59" s="159"/>
      <c r="E59" s="123" t="s">
        <v>544</v>
      </c>
      <c r="F59" s="122"/>
      <c r="G59" s="123" t="s">
        <v>536</v>
      </c>
      <c r="H59" s="122"/>
      <c r="I59" s="145" t="s">
        <v>565</v>
      </c>
      <c r="J59" s="159"/>
      <c r="K59" s="122" t="s">
        <v>117</v>
      </c>
      <c r="L59" s="159"/>
      <c r="M59" s="122" t="s">
        <v>557</v>
      </c>
      <c r="N59" s="159"/>
      <c r="O59" s="159">
        <v>2011</v>
      </c>
      <c r="P59" s="162" t="s">
        <v>750</v>
      </c>
      <c r="Q59" s="159">
        <v>25</v>
      </c>
      <c r="R59" s="159"/>
      <c r="S59" s="140">
        <f>25*80</f>
        <v>2000</v>
      </c>
      <c r="T59" s="159"/>
      <c r="U59" s="148">
        <v>16</v>
      </c>
      <c r="V59" s="159"/>
      <c r="W59" s="153">
        <f>16*90</f>
        <v>1440</v>
      </c>
      <c r="X59" s="159"/>
      <c r="Y59" s="214">
        <v>0</v>
      </c>
      <c r="Z59" s="159"/>
      <c r="AA59" s="140">
        <v>0</v>
      </c>
      <c r="AB59" s="159"/>
      <c r="AC59" s="148">
        <v>0</v>
      </c>
      <c r="AD59" s="159"/>
      <c r="AE59" s="153">
        <v>0</v>
      </c>
      <c r="AF59" s="148">
        <v>0</v>
      </c>
      <c r="AG59" s="159"/>
      <c r="AH59" s="153">
        <v>0</v>
      </c>
      <c r="AI59" s="148"/>
      <c r="AJ59" s="159"/>
      <c r="AK59" s="153"/>
      <c r="AL59" s="148"/>
      <c r="AM59" s="159"/>
      <c r="AN59" s="153"/>
      <c r="AO59" s="295"/>
      <c r="AP59" s="295"/>
      <c r="AQ59" s="295"/>
      <c r="AR59" s="295"/>
      <c r="AS59" s="295"/>
      <c r="AT59" s="295"/>
      <c r="AU59" s="265" t="s">
        <v>797</v>
      </c>
    </row>
    <row r="60" spans="1:47" ht="46.15" customHeight="1" x14ac:dyDescent="0.2">
      <c r="A60" s="305" t="s">
        <v>528</v>
      </c>
      <c r="B60" s="159"/>
      <c r="C60" s="122" t="s">
        <v>558</v>
      </c>
      <c r="D60" s="159"/>
      <c r="E60" s="123" t="s">
        <v>612</v>
      </c>
      <c r="F60" s="122"/>
      <c r="G60" s="123" t="s">
        <v>536</v>
      </c>
      <c r="H60" s="122"/>
      <c r="I60" s="145">
        <v>75</v>
      </c>
      <c r="J60" s="159"/>
      <c r="K60" s="122" t="s">
        <v>117</v>
      </c>
      <c r="L60" s="159"/>
      <c r="M60" s="122" t="s">
        <v>557</v>
      </c>
      <c r="N60" s="159"/>
      <c r="O60" s="159">
        <v>2016</v>
      </c>
      <c r="P60" s="162" t="s">
        <v>750</v>
      </c>
      <c r="Q60" s="159">
        <v>0</v>
      </c>
      <c r="R60" s="159"/>
      <c r="S60" s="140">
        <v>0</v>
      </c>
      <c r="T60" s="159"/>
      <c r="U60" s="148">
        <v>73</v>
      </c>
      <c r="V60" s="159"/>
      <c r="W60" s="153">
        <f>73*50</f>
        <v>3650</v>
      </c>
      <c r="X60" s="159"/>
      <c r="Y60" s="214">
        <v>33</v>
      </c>
      <c r="Z60" s="159"/>
      <c r="AA60" s="140">
        <f>33*50</f>
        <v>1650</v>
      </c>
      <c r="AB60" s="159"/>
      <c r="AC60" s="148">
        <v>43</v>
      </c>
      <c r="AD60" s="159"/>
      <c r="AE60" s="153">
        <f>43*50</f>
        <v>2150</v>
      </c>
      <c r="AF60" s="148">
        <v>24</v>
      </c>
      <c r="AG60" s="159"/>
      <c r="AH60" s="153">
        <f>24*50</f>
        <v>1200</v>
      </c>
      <c r="AI60" s="159">
        <v>18</v>
      </c>
      <c r="AJ60" s="159"/>
      <c r="AK60" s="140">
        <v>1350</v>
      </c>
      <c r="AL60" s="148"/>
      <c r="AM60" s="159"/>
      <c r="AN60" s="153"/>
      <c r="AU60" s="247" t="s">
        <v>797</v>
      </c>
    </row>
    <row r="61" spans="1:47" ht="46.15" customHeight="1" x14ac:dyDescent="0.2">
      <c r="A61" s="305" t="s">
        <v>528</v>
      </c>
      <c r="B61" s="159"/>
      <c r="C61" s="122" t="s">
        <v>558</v>
      </c>
      <c r="D61" s="159"/>
      <c r="E61" s="123" t="s">
        <v>545</v>
      </c>
      <c r="F61" s="122"/>
      <c r="G61" s="123" t="s">
        <v>536</v>
      </c>
      <c r="H61" s="122"/>
      <c r="I61" s="145" t="s">
        <v>613</v>
      </c>
      <c r="J61" s="159"/>
      <c r="K61" s="122" t="s">
        <v>117</v>
      </c>
      <c r="L61" s="159"/>
      <c r="M61" s="122" t="s">
        <v>557</v>
      </c>
      <c r="N61" s="159"/>
      <c r="O61" s="159">
        <v>2011</v>
      </c>
      <c r="P61" s="162" t="s">
        <v>750</v>
      </c>
      <c r="Q61" s="159">
        <v>0</v>
      </c>
      <c r="R61" s="159"/>
      <c r="S61" s="140">
        <v>0</v>
      </c>
      <c r="T61" s="159"/>
      <c r="U61" s="148">
        <v>28</v>
      </c>
      <c r="V61" s="159"/>
      <c r="W61" s="153">
        <f>28*595</f>
        <v>16660</v>
      </c>
      <c r="X61" s="159"/>
      <c r="Y61" s="214">
        <v>0</v>
      </c>
      <c r="Z61" s="159"/>
      <c r="AA61" s="140">
        <v>0</v>
      </c>
      <c r="AB61" s="159"/>
      <c r="AC61" s="148">
        <v>0</v>
      </c>
      <c r="AD61" s="159">
        <v>0</v>
      </c>
      <c r="AE61" s="153">
        <v>0</v>
      </c>
      <c r="AF61" s="148">
        <v>0</v>
      </c>
      <c r="AG61" s="159"/>
      <c r="AH61" s="153">
        <v>0</v>
      </c>
      <c r="AI61" s="148"/>
      <c r="AJ61" s="159"/>
      <c r="AK61" s="153"/>
      <c r="AL61" s="148"/>
      <c r="AM61" s="159"/>
      <c r="AN61" s="153"/>
      <c r="AO61" s="295"/>
      <c r="AP61" s="295"/>
      <c r="AQ61" s="295"/>
      <c r="AR61" s="295"/>
      <c r="AS61" s="295"/>
      <c r="AT61" s="295"/>
      <c r="AU61" s="265" t="s">
        <v>797</v>
      </c>
    </row>
    <row r="62" spans="1:47" ht="46.15" customHeight="1" x14ac:dyDescent="0.2">
      <c r="A62" s="305" t="s">
        <v>528</v>
      </c>
      <c r="B62" s="159"/>
      <c r="C62" s="122" t="s">
        <v>558</v>
      </c>
      <c r="D62" s="159"/>
      <c r="E62" s="123" t="s">
        <v>614</v>
      </c>
      <c r="F62" s="122"/>
      <c r="G62" s="123" t="s">
        <v>536</v>
      </c>
      <c r="H62" s="122"/>
      <c r="I62" s="145">
        <v>220</v>
      </c>
      <c r="J62" s="159"/>
      <c r="K62" s="122" t="s">
        <v>117</v>
      </c>
      <c r="L62" s="159"/>
      <c r="M62" s="122" t="s">
        <v>557</v>
      </c>
      <c r="N62" s="159"/>
      <c r="O62" s="159">
        <v>2011</v>
      </c>
      <c r="P62" s="162" t="s">
        <v>750</v>
      </c>
      <c r="Q62" s="159">
        <v>12</v>
      </c>
      <c r="R62" s="159"/>
      <c r="S62" s="140">
        <f>12*220</f>
        <v>2640</v>
      </c>
      <c r="T62" s="159"/>
      <c r="U62" s="148">
        <v>0</v>
      </c>
      <c r="V62" s="159"/>
      <c r="W62" s="153">
        <v>0</v>
      </c>
      <c r="X62" s="159"/>
      <c r="Y62" s="214">
        <v>0</v>
      </c>
      <c r="Z62" s="159"/>
      <c r="AA62" s="140">
        <v>0</v>
      </c>
      <c r="AB62" s="159"/>
      <c r="AC62" s="148">
        <v>0</v>
      </c>
      <c r="AD62" s="159">
        <v>0</v>
      </c>
      <c r="AE62" s="153">
        <v>0</v>
      </c>
      <c r="AF62" s="148">
        <v>0</v>
      </c>
      <c r="AG62" s="159"/>
      <c r="AH62" s="153">
        <v>0</v>
      </c>
      <c r="AI62" s="148"/>
      <c r="AJ62" s="159"/>
      <c r="AK62" s="153"/>
      <c r="AL62" s="148"/>
      <c r="AM62" s="159"/>
      <c r="AN62" s="153"/>
      <c r="AU62" s="247" t="s">
        <v>797</v>
      </c>
    </row>
    <row r="63" spans="1:47" ht="46.15" customHeight="1" x14ac:dyDescent="0.2">
      <c r="A63" s="305" t="s">
        <v>528</v>
      </c>
      <c r="B63" s="159"/>
      <c r="C63" s="122" t="s">
        <v>558</v>
      </c>
      <c r="D63" s="159"/>
      <c r="E63" s="123" t="s">
        <v>616</v>
      </c>
      <c r="F63" s="122"/>
      <c r="G63" s="123" t="s">
        <v>536</v>
      </c>
      <c r="H63" s="122"/>
      <c r="I63" s="145">
        <v>210</v>
      </c>
      <c r="J63" s="159"/>
      <c r="K63" s="122" t="s">
        <v>117</v>
      </c>
      <c r="L63" s="159"/>
      <c r="M63" s="122" t="s">
        <v>557</v>
      </c>
      <c r="N63" s="159"/>
      <c r="O63" s="159">
        <v>2011</v>
      </c>
      <c r="P63" s="162" t="s">
        <v>750</v>
      </c>
      <c r="Q63" s="159">
        <v>0</v>
      </c>
      <c r="R63" s="159"/>
      <c r="S63" s="140">
        <v>0</v>
      </c>
      <c r="T63" s="159"/>
      <c r="U63" s="148">
        <v>19</v>
      </c>
      <c r="V63" s="159"/>
      <c r="W63" s="153">
        <f>19*210</f>
        <v>3990</v>
      </c>
      <c r="X63" s="159"/>
      <c r="Y63" s="214">
        <v>0</v>
      </c>
      <c r="Z63" s="159"/>
      <c r="AA63" s="140">
        <v>0</v>
      </c>
      <c r="AB63" s="159"/>
      <c r="AC63" s="148">
        <v>0</v>
      </c>
      <c r="AD63" s="159"/>
      <c r="AE63" s="153">
        <v>0</v>
      </c>
      <c r="AF63" s="148">
        <v>0</v>
      </c>
      <c r="AG63" s="159"/>
      <c r="AH63" s="153">
        <v>0</v>
      </c>
      <c r="AI63" s="148"/>
      <c r="AJ63" s="159"/>
      <c r="AK63" s="153"/>
      <c r="AL63" s="148"/>
      <c r="AM63" s="159"/>
      <c r="AN63" s="153"/>
      <c r="AO63" s="295"/>
      <c r="AP63" s="295"/>
      <c r="AQ63" s="295"/>
      <c r="AR63" s="295"/>
      <c r="AS63" s="295"/>
      <c r="AT63" s="295"/>
      <c r="AU63" s="265" t="s">
        <v>797</v>
      </c>
    </row>
    <row r="64" spans="1:47" ht="46.15" customHeight="1" x14ac:dyDescent="0.2">
      <c r="A64" s="305" t="s">
        <v>528</v>
      </c>
      <c r="B64" s="159"/>
      <c r="C64" s="122" t="s">
        <v>558</v>
      </c>
      <c r="D64" s="159"/>
      <c r="E64" s="123" t="s">
        <v>615</v>
      </c>
      <c r="F64" s="122"/>
      <c r="G64" s="123" t="s">
        <v>536</v>
      </c>
      <c r="H64" s="122"/>
      <c r="I64" s="145" t="s">
        <v>566</v>
      </c>
      <c r="J64" s="159"/>
      <c r="K64" s="122" t="s">
        <v>117</v>
      </c>
      <c r="L64" s="159"/>
      <c r="M64" s="122" t="s">
        <v>557</v>
      </c>
      <c r="N64" s="159"/>
      <c r="O64" s="159">
        <v>2016</v>
      </c>
      <c r="P64" s="162" t="s">
        <v>750</v>
      </c>
      <c r="Q64" s="159">
        <v>44</v>
      </c>
      <c r="R64" s="159"/>
      <c r="S64" s="140">
        <f>44*135</f>
        <v>5940</v>
      </c>
      <c r="T64" s="159"/>
      <c r="U64" s="148">
        <v>13</v>
      </c>
      <c r="V64" s="159"/>
      <c r="W64" s="153">
        <f>13*140</f>
        <v>1820</v>
      </c>
      <c r="X64" s="159"/>
      <c r="Y64" s="214">
        <v>2</v>
      </c>
      <c r="Z64" s="159"/>
      <c r="AA64" s="140">
        <f>2*45</f>
        <v>90</v>
      </c>
      <c r="AB64" s="159"/>
      <c r="AC64" s="148">
        <v>39</v>
      </c>
      <c r="AD64" s="159"/>
      <c r="AE64" s="153">
        <f>39*140</f>
        <v>5460</v>
      </c>
      <c r="AF64" s="148">
        <v>33</v>
      </c>
      <c r="AG64" s="159"/>
      <c r="AH64" s="153">
        <f>33*140</f>
        <v>4620</v>
      </c>
      <c r="AI64" s="159">
        <v>39</v>
      </c>
      <c r="AJ64" s="159"/>
      <c r="AK64" s="140">
        <v>5460</v>
      </c>
      <c r="AL64" s="159">
        <v>27</v>
      </c>
      <c r="AM64" s="159"/>
      <c r="AN64" s="140">
        <v>3780</v>
      </c>
      <c r="AU64" s="247" t="s">
        <v>797</v>
      </c>
    </row>
    <row r="65" spans="1:47" ht="46.15" customHeight="1" x14ac:dyDescent="0.2">
      <c r="A65" s="305"/>
      <c r="B65" s="159"/>
      <c r="C65" s="122"/>
      <c r="D65" s="159"/>
      <c r="E65" s="123" t="s">
        <v>712</v>
      </c>
      <c r="F65" s="122"/>
      <c r="G65" s="123" t="s">
        <v>536</v>
      </c>
      <c r="H65" s="122"/>
      <c r="I65" s="145">
        <v>300</v>
      </c>
      <c r="J65" s="159"/>
      <c r="K65" s="122" t="s">
        <v>117</v>
      </c>
      <c r="L65" s="159"/>
      <c r="M65" s="122" t="s">
        <v>557</v>
      </c>
      <c r="N65" s="159"/>
      <c r="O65" s="159">
        <v>2016</v>
      </c>
      <c r="P65" s="162" t="s">
        <v>750</v>
      </c>
      <c r="Q65" s="159">
        <v>0</v>
      </c>
      <c r="R65" s="159"/>
      <c r="S65" s="140">
        <v>0</v>
      </c>
      <c r="T65" s="159"/>
      <c r="U65" s="148">
        <v>0</v>
      </c>
      <c r="V65" s="159"/>
      <c r="W65" s="153">
        <v>0</v>
      </c>
      <c r="X65" s="159"/>
      <c r="Y65" s="214">
        <v>0</v>
      </c>
      <c r="Z65" s="159"/>
      <c r="AA65" s="140">
        <v>0</v>
      </c>
      <c r="AB65" s="159"/>
      <c r="AC65" s="148">
        <v>23</v>
      </c>
      <c r="AD65" s="159"/>
      <c r="AE65" s="153">
        <f>23*300</f>
        <v>6900</v>
      </c>
      <c r="AF65" s="148">
        <v>15</v>
      </c>
      <c r="AG65" s="159"/>
      <c r="AH65" s="153">
        <f>15*300</f>
        <v>4500</v>
      </c>
      <c r="AI65" s="159">
        <v>12</v>
      </c>
      <c r="AJ65" s="159"/>
      <c r="AK65" s="140">
        <v>3600</v>
      </c>
      <c r="AL65" s="159"/>
      <c r="AM65" s="159"/>
      <c r="AN65" s="140"/>
      <c r="AO65" s="295"/>
      <c r="AP65" s="295"/>
      <c r="AQ65" s="295"/>
      <c r="AR65" s="295"/>
      <c r="AS65" s="295"/>
      <c r="AT65" s="295"/>
      <c r="AU65" s="265" t="s">
        <v>797</v>
      </c>
    </row>
    <row r="66" spans="1:47" ht="46.15" customHeight="1" x14ac:dyDescent="0.2">
      <c r="A66" s="305"/>
      <c r="B66" s="159"/>
      <c r="C66" s="122"/>
      <c r="D66" s="159"/>
      <c r="E66" s="123" t="s">
        <v>713</v>
      </c>
      <c r="F66" s="122"/>
      <c r="G66" s="123" t="s">
        <v>536</v>
      </c>
      <c r="H66" s="122"/>
      <c r="I66" s="145" t="s">
        <v>707</v>
      </c>
      <c r="J66" s="159"/>
      <c r="K66" s="122" t="s">
        <v>117</v>
      </c>
      <c r="L66" s="159"/>
      <c r="M66" s="122" t="s">
        <v>557</v>
      </c>
      <c r="N66" s="159"/>
      <c r="O66" s="159"/>
      <c r="P66" s="162" t="s">
        <v>750</v>
      </c>
      <c r="Q66" s="159">
        <v>0</v>
      </c>
      <c r="R66" s="159"/>
      <c r="S66" s="140">
        <v>0</v>
      </c>
      <c r="T66" s="159"/>
      <c r="U66" s="148">
        <v>0</v>
      </c>
      <c r="V66" s="159"/>
      <c r="W66" s="153">
        <v>0</v>
      </c>
      <c r="X66" s="159"/>
      <c r="Y66" s="214">
        <v>0</v>
      </c>
      <c r="Z66" s="159"/>
      <c r="AA66" s="140">
        <v>0</v>
      </c>
      <c r="AB66" s="159"/>
      <c r="AC66" s="148">
        <v>0</v>
      </c>
      <c r="AD66" s="159"/>
      <c r="AE66" s="153">
        <v>0</v>
      </c>
      <c r="AF66" s="148">
        <v>0</v>
      </c>
      <c r="AG66" s="159"/>
      <c r="AH66" s="153">
        <v>0</v>
      </c>
      <c r="AI66" s="148"/>
      <c r="AJ66" s="159"/>
      <c r="AK66" s="153"/>
      <c r="AL66" s="148"/>
      <c r="AM66" s="159"/>
      <c r="AN66" s="153"/>
      <c r="AU66" s="247" t="s">
        <v>797</v>
      </c>
    </row>
    <row r="67" spans="1:47" ht="46.15" customHeight="1" x14ac:dyDescent="0.2">
      <c r="A67" s="305" t="s">
        <v>528</v>
      </c>
      <c r="B67" s="159"/>
      <c r="C67" s="122" t="s">
        <v>558</v>
      </c>
      <c r="D67" s="159"/>
      <c r="E67" s="123" t="s">
        <v>617</v>
      </c>
      <c r="F67" s="122"/>
      <c r="G67" s="123" t="s">
        <v>536</v>
      </c>
      <c r="H67" s="122"/>
      <c r="I67" s="145" t="s">
        <v>581</v>
      </c>
      <c r="J67" s="159"/>
      <c r="K67" s="122" t="s">
        <v>117</v>
      </c>
      <c r="L67" s="159"/>
      <c r="M67" s="122" t="s">
        <v>557</v>
      </c>
      <c r="N67" s="159"/>
      <c r="O67" s="159">
        <v>2011</v>
      </c>
      <c r="P67" s="162" t="s">
        <v>750</v>
      </c>
      <c r="Q67" s="159">
        <v>0</v>
      </c>
      <c r="R67" s="159"/>
      <c r="S67" s="140">
        <v>0</v>
      </c>
      <c r="T67" s="159"/>
      <c r="U67" s="148">
        <v>0</v>
      </c>
      <c r="V67" s="159"/>
      <c r="W67" s="153">
        <v>0</v>
      </c>
      <c r="X67" s="159"/>
      <c r="Y67" s="214">
        <v>0</v>
      </c>
      <c r="Z67" s="159"/>
      <c r="AA67" s="140">
        <v>0</v>
      </c>
      <c r="AB67" s="159"/>
      <c r="AC67" s="148">
        <v>0</v>
      </c>
      <c r="AD67" s="159"/>
      <c r="AE67" s="153">
        <v>0</v>
      </c>
      <c r="AF67" s="148">
        <v>0</v>
      </c>
      <c r="AG67" s="159"/>
      <c r="AH67" s="153">
        <v>0</v>
      </c>
      <c r="AI67" s="148"/>
      <c r="AJ67" s="159"/>
      <c r="AK67" s="153"/>
      <c r="AL67" s="148"/>
      <c r="AM67" s="159"/>
      <c r="AN67" s="153"/>
      <c r="AO67" s="295"/>
      <c r="AP67" s="295"/>
      <c r="AQ67" s="295"/>
      <c r="AR67" s="295"/>
      <c r="AS67" s="295"/>
      <c r="AT67" s="295"/>
      <c r="AU67" s="265" t="s">
        <v>797</v>
      </c>
    </row>
    <row r="68" spans="1:47" ht="46.15" customHeight="1" x14ac:dyDescent="0.2">
      <c r="A68" s="305" t="s">
        <v>528</v>
      </c>
      <c r="B68" s="159"/>
      <c r="C68" s="122" t="s">
        <v>558</v>
      </c>
      <c r="D68" s="159"/>
      <c r="E68" s="123" t="s">
        <v>864</v>
      </c>
      <c r="F68" s="122"/>
      <c r="G68" s="123" t="s">
        <v>536</v>
      </c>
      <c r="H68" s="122"/>
      <c r="I68" s="145">
        <v>135</v>
      </c>
      <c r="J68" s="159"/>
      <c r="K68" s="122" t="s">
        <v>117</v>
      </c>
      <c r="L68" s="159"/>
      <c r="M68" s="122" t="s">
        <v>557</v>
      </c>
      <c r="N68" s="159"/>
      <c r="O68" s="159">
        <v>2016</v>
      </c>
      <c r="P68" s="162" t="s">
        <v>750</v>
      </c>
      <c r="Q68" s="159">
        <v>0</v>
      </c>
      <c r="R68" s="159"/>
      <c r="S68" s="140">
        <v>0</v>
      </c>
      <c r="T68" s="159"/>
      <c r="U68" s="148">
        <v>9</v>
      </c>
      <c r="V68" s="159"/>
      <c r="W68" s="153">
        <f>9*135</f>
        <v>1215</v>
      </c>
      <c r="X68" s="159"/>
      <c r="Y68" s="214">
        <v>0</v>
      </c>
      <c r="Z68" s="159"/>
      <c r="AA68" s="140">
        <v>0</v>
      </c>
      <c r="AB68" s="159"/>
      <c r="AC68" s="148">
        <v>15</v>
      </c>
      <c r="AD68" s="159"/>
      <c r="AE68" s="153">
        <f>15*150</f>
        <v>2250</v>
      </c>
      <c r="AF68" s="148">
        <v>30</v>
      </c>
      <c r="AG68" s="159"/>
      <c r="AH68" s="153">
        <f>30*150</f>
        <v>4500</v>
      </c>
      <c r="AI68" s="148"/>
      <c r="AJ68" s="159"/>
      <c r="AK68" s="153"/>
      <c r="AL68" s="148"/>
      <c r="AM68" s="159"/>
      <c r="AN68" s="153"/>
      <c r="AU68" s="247" t="s">
        <v>797</v>
      </c>
    </row>
    <row r="69" spans="1:47" ht="46.15" customHeight="1" x14ac:dyDescent="0.2">
      <c r="A69" s="305" t="s">
        <v>528</v>
      </c>
      <c r="B69" s="159"/>
      <c r="C69" s="122" t="s">
        <v>558</v>
      </c>
      <c r="D69" s="159"/>
      <c r="E69" s="123" t="s">
        <v>618</v>
      </c>
      <c r="F69" s="122"/>
      <c r="G69" s="123" t="s">
        <v>536</v>
      </c>
      <c r="H69" s="122"/>
      <c r="I69" s="145">
        <v>170</v>
      </c>
      <c r="J69" s="159"/>
      <c r="K69" s="122" t="s">
        <v>117</v>
      </c>
      <c r="L69" s="159"/>
      <c r="M69" s="122" t="s">
        <v>557</v>
      </c>
      <c r="N69" s="159"/>
      <c r="O69" s="159">
        <v>2011</v>
      </c>
      <c r="P69" s="162" t="s">
        <v>750</v>
      </c>
      <c r="Q69" s="159">
        <v>0</v>
      </c>
      <c r="R69" s="159"/>
      <c r="S69" s="140">
        <v>0</v>
      </c>
      <c r="T69" s="159"/>
      <c r="U69" s="148">
        <v>16</v>
      </c>
      <c r="V69" s="159"/>
      <c r="W69" s="153">
        <f>16*170</f>
        <v>2720</v>
      </c>
      <c r="X69" s="159"/>
      <c r="Y69" s="214">
        <v>23</v>
      </c>
      <c r="Z69" s="159"/>
      <c r="AA69" s="140">
        <f>23*170</f>
        <v>3910</v>
      </c>
      <c r="AB69" s="159"/>
      <c r="AC69" s="148">
        <v>0</v>
      </c>
      <c r="AD69" s="159"/>
      <c r="AE69" s="153">
        <v>0</v>
      </c>
      <c r="AF69" s="148">
        <v>12</v>
      </c>
      <c r="AG69" s="159"/>
      <c r="AH69" s="153">
        <f>12*170</f>
        <v>2040</v>
      </c>
      <c r="AI69" s="148"/>
      <c r="AJ69" s="159"/>
      <c r="AK69" s="153"/>
      <c r="AL69" s="148"/>
      <c r="AM69" s="159"/>
      <c r="AN69" s="153"/>
      <c r="AO69" s="295"/>
      <c r="AP69" s="295"/>
      <c r="AQ69" s="295"/>
      <c r="AR69" s="295"/>
      <c r="AS69" s="295"/>
      <c r="AT69" s="295"/>
      <c r="AU69" s="265" t="s">
        <v>797</v>
      </c>
    </row>
    <row r="70" spans="1:47" ht="46.15" customHeight="1" x14ac:dyDescent="0.2">
      <c r="A70" s="305" t="s">
        <v>528</v>
      </c>
      <c r="B70" s="159"/>
      <c r="C70" s="122" t="s">
        <v>558</v>
      </c>
      <c r="D70" s="159"/>
      <c r="E70" s="123" t="s">
        <v>865</v>
      </c>
      <c r="F70" s="122"/>
      <c r="G70" s="123" t="s">
        <v>536</v>
      </c>
      <c r="H70" s="122"/>
      <c r="I70" s="145" t="s">
        <v>828</v>
      </c>
      <c r="J70" s="159"/>
      <c r="K70" s="122" t="s">
        <v>117</v>
      </c>
      <c r="L70" s="159"/>
      <c r="M70" s="122" t="s">
        <v>557</v>
      </c>
      <c r="N70" s="159"/>
      <c r="O70" s="159">
        <v>2016</v>
      </c>
      <c r="P70" s="162" t="s">
        <v>750</v>
      </c>
      <c r="Q70" s="159">
        <v>110</v>
      </c>
      <c r="R70" s="159"/>
      <c r="S70" s="140">
        <f>110*225</f>
        <v>24750</v>
      </c>
      <c r="T70" s="159"/>
      <c r="U70" s="148">
        <v>108</v>
      </c>
      <c r="V70" s="159"/>
      <c r="W70" s="153">
        <f>108*250</f>
        <v>27000</v>
      </c>
      <c r="X70" s="159"/>
      <c r="Y70" s="214">
        <v>97</v>
      </c>
      <c r="Z70" s="159"/>
      <c r="AA70" s="140">
        <f>97*250</f>
        <v>24250</v>
      </c>
      <c r="AB70" s="159"/>
      <c r="AC70" s="148">
        <v>77</v>
      </c>
      <c r="AD70" s="159"/>
      <c r="AE70" s="153">
        <f>77*250</f>
        <v>19250</v>
      </c>
      <c r="AF70" s="148">
        <v>106</v>
      </c>
      <c r="AG70" s="159"/>
      <c r="AH70" s="153">
        <f>106*250</f>
        <v>26500</v>
      </c>
      <c r="AI70" s="159">
        <v>122</v>
      </c>
      <c r="AJ70" s="159"/>
      <c r="AK70" s="140">
        <v>30500</v>
      </c>
      <c r="AL70" s="159">
        <v>89</v>
      </c>
      <c r="AM70" s="159"/>
      <c r="AN70" s="140">
        <v>24475</v>
      </c>
      <c r="AU70" s="247" t="s">
        <v>797</v>
      </c>
    </row>
    <row r="71" spans="1:47" ht="46.15" customHeight="1" x14ac:dyDescent="0.2">
      <c r="A71" s="305" t="s">
        <v>528</v>
      </c>
      <c r="B71" s="159"/>
      <c r="C71" s="122" t="s">
        <v>558</v>
      </c>
      <c r="D71" s="159"/>
      <c r="E71" s="123" t="s">
        <v>619</v>
      </c>
      <c r="F71" s="122"/>
      <c r="G71" s="123" t="s">
        <v>536</v>
      </c>
      <c r="H71" s="122"/>
      <c r="I71" s="145">
        <v>160</v>
      </c>
      <c r="J71" s="159"/>
      <c r="K71" s="122" t="s">
        <v>117</v>
      </c>
      <c r="L71" s="159"/>
      <c r="M71" s="122" t="s">
        <v>557</v>
      </c>
      <c r="N71" s="159"/>
      <c r="O71" s="159">
        <v>2011</v>
      </c>
      <c r="P71" s="162" t="s">
        <v>750</v>
      </c>
      <c r="Q71" s="159">
        <v>0</v>
      </c>
      <c r="R71" s="159"/>
      <c r="S71" s="140">
        <v>0</v>
      </c>
      <c r="T71" s="159"/>
      <c r="U71" s="148">
        <v>14</v>
      </c>
      <c r="V71" s="159"/>
      <c r="W71" s="153">
        <f>14*160</f>
        <v>2240</v>
      </c>
      <c r="X71" s="159"/>
      <c r="Y71" s="214">
        <v>11</v>
      </c>
      <c r="Z71" s="159"/>
      <c r="AA71" s="140">
        <f>11*160</f>
        <v>1760</v>
      </c>
      <c r="AB71" s="159"/>
      <c r="AC71" s="148">
        <v>0</v>
      </c>
      <c r="AD71" s="159"/>
      <c r="AE71" s="153">
        <v>0</v>
      </c>
      <c r="AF71" s="148">
        <v>0</v>
      </c>
      <c r="AG71" s="159"/>
      <c r="AH71" s="153">
        <v>0</v>
      </c>
      <c r="AI71" s="159"/>
      <c r="AJ71" s="159"/>
      <c r="AK71" s="140"/>
      <c r="AL71" s="159"/>
      <c r="AM71" s="159"/>
      <c r="AN71" s="140"/>
      <c r="AO71" s="295"/>
      <c r="AP71" s="295"/>
      <c r="AQ71" s="295"/>
      <c r="AR71" s="295"/>
      <c r="AS71" s="295"/>
      <c r="AT71" s="295"/>
      <c r="AU71" s="265" t="s">
        <v>797</v>
      </c>
    </row>
    <row r="72" spans="1:47" ht="46.15" customHeight="1" x14ac:dyDescent="0.2">
      <c r="A72" s="305" t="s">
        <v>528</v>
      </c>
      <c r="B72" s="159"/>
      <c r="C72" s="122" t="s">
        <v>558</v>
      </c>
      <c r="D72" s="159"/>
      <c r="E72" s="123" t="s">
        <v>866</v>
      </c>
      <c r="F72" s="122"/>
      <c r="G72" s="123" t="s">
        <v>536</v>
      </c>
      <c r="H72" s="122"/>
      <c r="I72" s="145">
        <v>95</v>
      </c>
      <c r="J72" s="159"/>
      <c r="K72" s="122" t="s">
        <v>117</v>
      </c>
      <c r="L72" s="159"/>
      <c r="M72" s="122" t="s">
        <v>557</v>
      </c>
      <c r="N72" s="159"/>
      <c r="O72" s="159">
        <v>2016</v>
      </c>
      <c r="P72" s="162" t="s">
        <v>750</v>
      </c>
      <c r="Q72" s="159">
        <v>229</v>
      </c>
      <c r="R72" s="159"/>
      <c r="S72" s="140">
        <f>229*95</f>
        <v>21755</v>
      </c>
      <c r="T72" s="159"/>
      <c r="U72" s="148">
        <v>178</v>
      </c>
      <c r="V72" s="159"/>
      <c r="W72" s="153">
        <f>178*95</f>
        <v>16910</v>
      </c>
      <c r="X72" s="159"/>
      <c r="Y72" s="214">
        <v>217</v>
      </c>
      <c r="Z72" s="159"/>
      <c r="AA72" s="140">
        <f>217*65</f>
        <v>14105</v>
      </c>
      <c r="AB72" s="159"/>
      <c r="AC72" s="148">
        <v>57</v>
      </c>
      <c r="AD72" s="159"/>
      <c r="AE72" s="153">
        <f>57*65</f>
        <v>3705</v>
      </c>
      <c r="AF72" s="148">
        <v>19</v>
      </c>
      <c r="AG72" s="159"/>
      <c r="AH72" s="153">
        <f>19*65</f>
        <v>1235</v>
      </c>
      <c r="AI72" s="159">
        <v>7</v>
      </c>
      <c r="AJ72" s="159"/>
      <c r="AK72" s="140">
        <v>665</v>
      </c>
      <c r="AL72" s="159">
        <v>0</v>
      </c>
      <c r="AM72" s="159"/>
      <c r="AN72" s="140"/>
      <c r="AU72" s="247" t="s">
        <v>797</v>
      </c>
    </row>
    <row r="73" spans="1:47" ht="46.15" customHeight="1" x14ac:dyDescent="0.2">
      <c r="A73" s="305" t="s">
        <v>528</v>
      </c>
      <c r="B73" s="159"/>
      <c r="C73" s="122" t="s">
        <v>558</v>
      </c>
      <c r="D73" s="159"/>
      <c r="E73" s="123" t="s">
        <v>867</v>
      </c>
      <c r="F73" s="122"/>
      <c r="G73" s="123" t="s">
        <v>536</v>
      </c>
      <c r="H73" s="122"/>
      <c r="I73" s="145">
        <v>170</v>
      </c>
      <c r="J73" s="159"/>
      <c r="K73" s="122" t="s">
        <v>117</v>
      </c>
      <c r="L73" s="159"/>
      <c r="M73" s="122" t="s">
        <v>557</v>
      </c>
      <c r="N73" s="159"/>
      <c r="O73" s="159">
        <v>2011</v>
      </c>
      <c r="P73" s="162" t="s">
        <v>750</v>
      </c>
      <c r="Q73" s="159">
        <v>20</v>
      </c>
      <c r="R73" s="159"/>
      <c r="S73" s="140">
        <f>20*170</f>
        <v>3400</v>
      </c>
      <c r="T73" s="159"/>
      <c r="U73" s="148">
        <v>0</v>
      </c>
      <c r="V73" s="159"/>
      <c r="W73" s="153">
        <v>0</v>
      </c>
      <c r="X73" s="159"/>
      <c r="Y73" s="214">
        <v>23</v>
      </c>
      <c r="Z73" s="159"/>
      <c r="AA73" s="140">
        <f>23*170</f>
        <v>3910</v>
      </c>
      <c r="AB73" s="159"/>
      <c r="AC73" s="148">
        <v>0</v>
      </c>
      <c r="AD73" s="159"/>
      <c r="AE73" s="153">
        <v>0</v>
      </c>
      <c r="AF73" s="148">
        <v>0</v>
      </c>
      <c r="AG73" s="159"/>
      <c r="AH73" s="153">
        <v>0</v>
      </c>
      <c r="AI73" s="148"/>
      <c r="AJ73" s="159"/>
      <c r="AK73" s="153"/>
      <c r="AL73" s="148"/>
      <c r="AM73" s="159"/>
      <c r="AN73" s="153"/>
      <c r="AO73" s="295"/>
      <c r="AP73" s="295"/>
      <c r="AQ73" s="295"/>
      <c r="AR73" s="295"/>
      <c r="AS73" s="295"/>
      <c r="AT73" s="295"/>
      <c r="AU73" s="265" t="s">
        <v>797</v>
      </c>
    </row>
    <row r="74" spans="1:47" ht="46.15" customHeight="1" x14ac:dyDescent="0.2">
      <c r="A74" s="305" t="s">
        <v>528</v>
      </c>
      <c r="B74" s="159"/>
      <c r="C74" s="122" t="s">
        <v>558</v>
      </c>
      <c r="D74" s="159"/>
      <c r="E74" s="123" t="s">
        <v>546</v>
      </c>
      <c r="F74" s="122"/>
      <c r="G74" s="123" t="s">
        <v>536</v>
      </c>
      <c r="H74" s="122"/>
      <c r="I74" s="145">
        <v>35</v>
      </c>
      <c r="J74" s="159"/>
      <c r="K74" s="122" t="s">
        <v>117</v>
      </c>
      <c r="L74" s="159"/>
      <c r="M74" s="122" t="s">
        <v>557</v>
      </c>
      <c r="N74" s="159"/>
      <c r="O74" s="159">
        <v>2011</v>
      </c>
      <c r="P74" s="162" t="s">
        <v>750</v>
      </c>
      <c r="Q74" s="122">
        <v>66</v>
      </c>
      <c r="R74" s="159"/>
      <c r="S74" s="140">
        <f>66*35</f>
        <v>2310</v>
      </c>
      <c r="T74" s="159"/>
      <c r="U74" s="149">
        <v>0</v>
      </c>
      <c r="V74" s="159"/>
      <c r="W74" s="153">
        <v>0</v>
      </c>
      <c r="X74" s="159"/>
      <c r="Y74" s="215">
        <v>0</v>
      </c>
      <c r="Z74" s="159"/>
      <c r="AA74" s="140" t="s">
        <v>707</v>
      </c>
      <c r="AB74" s="159"/>
      <c r="AC74" s="149">
        <v>0</v>
      </c>
      <c r="AD74" s="159"/>
      <c r="AE74" s="153">
        <v>0</v>
      </c>
      <c r="AF74" s="148">
        <v>25</v>
      </c>
      <c r="AG74" s="219"/>
      <c r="AH74" s="153">
        <f>(17*55)+(8*35)</f>
        <v>1215</v>
      </c>
      <c r="AI74" s="149"/>
      <c r="AJ74" s="159"/>
      <c r="AK74" s="153"/>
      <c r="AL74" s="148"/>
      <c r="AM74" s="219"/>
      <c r="AN74" s="153"/>
      <c r="AU74" s="247" t="s">
        <v>797</v>
      </c>
    </row>
    <row r="75" spans="1:47" ht="46.15" customHeight="1" x14ac:dyDescent="0.2">
      <c r="A75" s="305" t="s">
        <v>528</v>
      </c>
      <c r="B75" s="159"/>
      <c r="C75" s="122" t="s">
        <v>558</v>
      </c>
      <c r="D75" s="159"/>
      <c r="E75" s="123" t="s">
        <v>620</v>
      </c>
      <c r="F75" s="122"/>
      <c r="G75" s="123" t="s">
        <v>536</v>
      </c>
      <c r="H75" s="122"/>
      <c r="I75" s="145">
        <v>50</v>
      </c>
      <c r="J75" s="159"/>
      <c r="K75" s="122" t="s">
        <v>117</v>
      </c>
      <c r="L75" s="159"/>
      <c r="M75" s="122" t="s">
        <v>557</v>
      </c>
      <c r="N75" s="159"/>
      <c r="O75" s="159">
        <v>2011</v>
      </c>
      <c r="P75" s="162" t="s">
        <v>750</v>
      </c>
      <c r="Q75" s="159">
        <v>0</v>
      </c>
      <c r="R75" s="159"/>
      <c r="S75" s="140">
        <v>0</v>
      </c>
      <c r="T75" s="159"/>
      <c r="U75" s="148">
        <v>51</v>
      </c>
      <c r="V75" s="159"/>
      <c r="W75" s="153">
        <f>51*50</f>
        <v>2550</v>
      </c>
      <c r="X75" s="159"/>
      <c r="Y75" s="214">
        <v>85</v>
      </c>
      <c r="Z75" s="159"/>
      <c r="AA75" s="140">
        <f>85*50</f>
        <v>4250</v>
      </c>
      <c r="AB75" s="159"/>
      <c r="AC75" s="148">
        <v>191</v>
      </c>
      <c r="AD75" s="159"/>
      <c r="AE75" s="153">
        <f>191*50</f>
        <v>9550</v>
      </c>
      <c r="AF75" s="148">
        <v>66</v>
      </c>
      <c r="AG75" s="159"/>
      <c r="AH75" s="153">
        <f>66*50</f>
        <v>3300</v>
      </c>
      <c r="AI75" s="148"/>
      <c r="AJ75" s="159"/>
      <c r="AK75" s="153"/>
      <c r="AL75" s="148"/>
      <c r="AM75" s="159"/>
      <c r="AN75" s="153"/>
      <c r="AO75" s="295"/>
      <c r="AP75" s="295"/>
      <c r="AQ75" s="295"/>
      <c r="AR75" s="295"/>
      <c r="AS75" s="295"/>
      <c r="AT75" s="295"/>
      <c r="AU75" s="265" t="s">
        <v>797</v>
      </c>
    </row>
    <row r="76" spans="1:47" ht="46.15" customHeight="1" x14ac:dyDescent="0.2">
      <c r="A76" s="305"/>
      <c r="B76" s="159"/>
      <c r="C76" s="122"/>
      <c r="D76" s="159"/>
      <c r="E76" s="123" t="s">
        <v>714</v>
      </c>
      <c r="F76" s="122"/>
      <c r="G76" s="123" t="s">
        <v>536</v>
      </c>
      <c r="H76" s="122"/>
      <c r="I76" s="145">
        <v>15</v>
      </c>
      <c r="J76" s="159"/>
      <c r="K76" s="122" t="s">
        <v>117</v>
      </c>
      <c r="L76" s="159"/>
      <c r="M76" s="122" t="s">
        <v>557</v>
      </c>
      <c r="N76" s="159"/>
      <c r="O76" s="159">
        <v>2014</v>
      </c>
      <c r="P76" s="162" t="s">
        <v>750</v>
      </c>
      <c r="Q76" s="159">
        <v>0</v>
      </c>
      <c r="R76" s="159"/>
      <c r="S76" s="140">
        <v>0</v>
      </c>
      <c r="T76" s="159"/>
      <c r="U76" s="148">
        <v>0</v>
      </c>
      <c r="V76" s="159"/>
      <c r="W76" s="153">
        <v>0</v>
      </c>
      <c r="X76" s="159"/>
      <c r="Y76" s="214">
        <v>0</v>
      </c>
      <c r="Z76" s="159"/>
      <c r="AA76" s="140">
        <v>0</v>
      </c>
      <c r="AB76" s="159"/>
      <c r="AC76" s="148">
        <v>0</v>
      </c>
      <c r="AD76" s="159"/>
      <c r="AE76" s="153">
        <v>0</v>
      </c>
      <c r="AF76" s="148">
        <v>409</v>
      </c>
      <c r="AG76" s="159"/>
      <c r="AH76" s="153">
        <f>409*15</f>
        <v>6135</v>
      </c>
      <c r="AI76" s="148"/>
      <c r="AJ76" s="159"/>
      <c r="AK76" s="153"/>
      <c r="AL76" s="148"/>
      <c r="AM76" s="159"/>
      <c r="AN76" s="153"/>
      <c r="AU76" s="247" t="s">
        <v>797</v>
      </c>
    </row>
    <row r="77" spans="1:47" ht="46.15" customHeight="1" x14ac:dyDescent="0.2">
      <c r="A77" s="305" t="s">
        <v>528</v>
      </c>
      <c r="B77" s="159"/>
      <c r="C77" s="122" t="s">
        <v>558</v>
      </c>
      <c r="D77" s="159"/>
      <c r="E77" s="123" t="s">
        <v>547</v>
      </c>
      <c r="F77" s="122"/>
      <c r="G77" s="123" t="s">
        <v>536</v>
      </c>
      <c r="H77" s="122"/>
      <c r="I77" s="145" t="s">
        <v>829</v>
      </c>
      <c r="J77" s="159"/>
      <c r="K77" s="122" t="s">
        <v>117</v>
      </c>
      <c r="L77" s="159"/>
      <c r="M77" s="122" t="s">
        <v>557</v>
      </c>
      <c r="N77" s="159"/>
      <c r="O77" s="159">
        <v>2016</v>
      </c>
      <c r="P77" s="162" t="s">
        <v>750</v>
      </c>
      <c r="Q77" s="159">
        <v>109</v>
      </c>
      <c r="R77" s="159"/>
      <c r="S77" s="140">
        <f>109*250</f>
        <v>27250</v>
      </c>
      <c r="T77" s="159"/>
      <c r="U77" s="148">
        <v>118</v>
      </c>
      <c r="V77" s="159"/>
      <c r="W77" s="153">
        <f>118*250</f>
        <v>29500</v>
      </c>
      <c r="X77" s="159"/>
      <c r="Y77" s="214">
        <v>118</v>
      </c>
      <c r="Z77" s="159"/>
      <c r="AA77" s="140">
        <f>118*250</f>
        <v>29500</v>
      </c>
      <c r="AB77" s="159"/>
      <c r="AC77" s="148">
        <v>142</v>
      </c>
      <c r="AD77" s="159"/>
      <c r="AE77" s="153">
        <f>142*250</f>
        <v>35500</v>
      </c>
      <c r="AF77" s="148">
        <v>115</v>
      </c>
      <c r="AG77" s="159"/>
      <c r="AH77" s="153">
        <f>115*270</f>
        <v>31050</v>
      </c>
      <c r="AI77" s="159">
        <v>132</v>
      </c>
      <c r="AJ77" s="159"/>
      <c r="AK77" s="140">
        <v>35640</v>
      </c>
      <c r="AL77" s="159">
        <v>140</v>
      </c>
      <c r="AM77" s="159"/>
      <c r="AN77" s="140">
        <v>37800</v>
      </c>
      <c r="AO77" s="295"/>
      <c r="AP77" s="295"/>
      <c r="AQ77" s="295"/>
      <c r="AR77" s="295"/>
      <c r="AS77" s="295"/>
      <c r="AT77" s="295"/>
      <c r="AU77" s="265" t="s">
        <v>797</v>
      </c>
    </row>
    <row r="78" spans="1:47" ht="46.15" customHeight="1" x14ac:dyDescent="0.2">
      <c r="A78" s="305" t="s">
        <v>528</v>
      </c>
      <c r="B78" s="159"/>
      <c r="C78" s="122" t="s">
        <v>558</v>
      </c>
      <c r="D78" s="159"/>
      <c r="E78" s="123" t="s">
        <v>548</v>
      </c>
      <c r="F78" s="122"/>
      <c r="G78" s="123" t="s">
        <v>536</v>
      </c>
      <c r="H78" s="122"/>
      <c r="I78" s="145" t="s">
        <v>830</v>
      </c>
      <c r="J78" s="159"/>
      <c r="K78" s="122" t="s">
        <v>117</v>
      </c>
      <c r="L78" s="159"/>
      <c r="M78" s="122" t="s">
        <v>557</v>
      </c>
      <c r="N78" s="159"/>
      <c r="O78" s="159">
        <v>2016</v>
      </c>
      <c r="P78" s="162" t="s">
        <v>750</v>
      </c>
      <c r="Q78" s="159">
        <v>15</v>
      </c>
      <c r="R78" s="159"/>
      <c r="S78" s="140">
        <f>15*60</f>
        <v>900</v>
      </c>
      <c r="T78" s="159"/>
      <c r="U78" s="148">
        <v>18</v>
      </c>
      <c r="V78" s="159"/>
      <c r="W78" s="153">
        <f>18*60</f>
        <v>1080</v>
      </c>
      <c r="X78" s="159"/>
      <c r="Y78" s="214">
        <v>14</v>
      </c>
      <c r="Z78" s="159"/>
      <c r="AA78" s="140">
        <f>14*60</f>
        <v>840</v>
      </c>
      <c r="AB78" s="159"/>
      <c r="AC78" s="148">
        <v>26</v>
      </c>
      <c r="AD78" s="159"/>
      <c r="AE78" s="153">
        <f>26*60</f>
        <v>1560</v>
      </c>
      <c r="AF78" s="148">
        <v>30</v>
      </c>
      <c r="AG78" s="159"/>
      <c r="AH78" s="153">
        <f>(21*60)+500</f>
        <v>1760</v>
      </c>
      <c r="AI78" s="159">
        <v>14</v>
      </c>
      <c r="AJ78" s="159"/>
      <c r="AK78" s="140">
        <v>1400</v>
      </c>
      <c r="AL78" s="159">
        <v>18</v>
      </c>
      <c r="AM78" s="159"/>
      <c r="AN78" s="140">
        <v>1800</v>
      </c>
      <c r="AU78" s="247" t="s">
        <v>797</v>
      </c>
    </row>
    <row r="79" spans="1:47" ht="46.15" customHeight="1" x14ac:dyDescent="0.2">
      <c r="A79" s="305" t="s">
        <v>528</v>
      </c>
      <c r="B79" s="159"/>
      <c r="C79" s="122" t="s">
        <v>558</v>
      </c>
      <c r="D79" s="159"/>
      <c r="E79" s="123" t="s">
        <v>621</v>
      </c>
      <c r="F79" s="122"/>
      <c r="G79" s="123" t="s">
        <v>536</v>
      </c>
      <c r="H79" s="122"/>
      <c r="I79" s="145" t="s">
        <v>831</v>
      </c>
      <c r="J79" s="159"/>
      <c r="K79" s="122" t="s">
        <v>117</v>
      </c>
      <c r="L79" s="159"/>
      <c r="M79" s="122" t="s">
        <v>557</v>
      </c>
      <c r="N79" s="159"/>
      <c r="O79" s="159">
        <v>2016</v>
      </c>
      <c r="P79" s="162" t="s">
        <v>750</v>
      </c>
      <c r="Q79" s="159">
        <v>13</v>
      </c>
      <c r="R79" s="159"/>
      <c r="S79" s="140">
        <f>13*90</f>
        <v>1170</v>
      </c>
      <c r="T79" s="159"/>
      <c r="U79" s="148">
        <v>8</v>
      </c>
      <c r="V79" s="159"/>
      <c r="W79" s="153">
        <f>8*95</f>
        <v>760</v>
      </c>
      <c r="X79" s="159"/>
      <c r="Y79" s="214">
        <v>16</v>
      </c>
      <c r="Z79" s="159"/>
      <c r="AA79" s="140">
        <f>16*95</f>
        <v>1520</v>
      </c>
      <c r="AB79" s="159"/>
      <c r="AC79" s="148">
        <v>16</v>
      </c>
      <c r="AD79" s="159"/>
      <c r="AE79" s="153">
        <f>16*95</f>
        <v>1520</v>
      </c>
      <c r="AF79" s="148">
        <v>13</v>
      </c>
      <c r="AG79" s="159"/>
      <c r="AH79" s="153">
        <f>13*95</f>
        <v>1235</v>
      </c>
      <c r="AI79" s="159">
        <v>113</v>
      </c>
      <c r="AJ79" s="159"/>
      <c r="AK79" s="140">
        <v>16950</v>
      </c>
      <c r="AL79" s="159">
        <v>69</v>
      </c>
      <c r="AM79" s="159"/>
      <c r="AN79" s="140">
        <v>10350</v>
      </c>
      <c r="AO79" s="295"/>
      <c r="AP79" s="295"/>
      <c r="AQ79" s="295"/>
      <c r="AR79" s="295"/>
      <c r="AS79" s="295"/>
      <c r="AT79" s="295"/>
      <c r="AU79" s="265" t="s">
        <v>797</v>
      </c>
    </row>
    <row r="80" spans="1:47" ht="46.15" customHeight="1" x14ac:dyDescent="0.2">
      <c r="A80" s="305" t="s">
        <v>528</v>
      </c>
      <c r="B80" s="159"/>
      <c r="C80" s="122" t="s">
        <v>558</v>
      </c>
      <c r="D80" s="159"/>
      <c r="E80" s="123" t="s">
        <v>549</v>
      </c>
      <c r="F80" s="122"/>
      <c r="G80" s="123" t="s">
        <v>536</v>
      </c>
      <c r="H80" s="122"/>
      <c r="I80" s="145" t="s">
        <v>868</v>
      </c>
      <c r="J80" s="159"/>
      <c r="K80" s="122" t="s">
        <v>117</v>
      </c>
      <c r="L80" s="159"/>
      <c r="M80" s="122" t="s">
        <v>557</v>
      </c>
      <c r="N80" s="159"/>
      <c r="O80" s="159">
        <v>2011</v>
      </c>
      <c r="P80" s="162" t="s">
        <v>750</v>
      </c>
      <c r="Q80" s="159">
        <v>148</v>
      </c>
      <c r="R80" s="159"/>
      <c r="S80" s="140">
        <f>148*70</f>
        <v>10360</v>
      </c>
      <c r="T80" s="159"/>
      <c r="U80" s="148">
        <v>97</v>
      </c>
      <c r="V80" s="159"/>
      <c r="W80" s="153">
        <f>97*75</f>
        <v>7275</v>
      </c>
      <c r="X80" s="159"/>
      <c r="Y80" s="214">
        <v>102</v>
      </c>
      <c r="Z80" s="159"/>
      <c r="AA80" s="140">
        <f>102*75</f>
        <v>7650</v>
      </c>
      <c r="AB80" s="159"/>
      <c r="AC80" s="148">
        <v>97</v>
      </c>
      <c r="AD80" s="159"/>
      <c r="AE80" s="153">
        <f>97*75</f>
        <v>7275</v>
      </c>
      <c r="AF80" s="148">
        <v>101</v>
      </c>
      <c r="AG80" s="159"/>
      <c r="AH80" s="153">
        <f>101*75</f>
        <v>7575</v>
      </c>
      <c r="AI80" s="148"/>
      <c r="AJ80" s="159"/>
      <c r="AK80" s="153"/>
      <c r="AL80" s="148"/>
      <c r="AM80" s="159"/>
      <c r="AN80" s="153"/>
      <c r="AU80" s="247" t="s">
        <v>797</v>
      </c>
    </row>
    <row r="81" spans="1:1531" ht="46.15" customHeight="1" x14ac:dyDescent="0.2">
      <c r="A81" s="305" t="s">
        <v>528</v>
      </c>
      <c r="B81" s="159"/>
      <c r="C81" s="122" t="s">
        <v>558</v>
      </c>
      <c r="D81" s="159"/>
      <c r="E81" s="123" t="s">
        <v>550</v>
      </c>
      <c r="F81" s="122"/>
      <c r="G81" s="123" t="s">
        <v>536</v>
      </c>
      <c r="H81" s="122"/>
      <c r="I81" s="145" t="s">
        <v>832</v>
      </c>
      <c r="J81" s="159"/>
      <c r="K81" s="122" t="s">
        <v>117</v>
      </c>
      <c r="L81" s="159"/>
      <c r="M81" s="122" t="s">
        <v>557</v>
      </c>
      <c r="N81" s="159"/>
      <c r="O81" s="159">
        <v>2016</v>
      </c>
      <c r="P81" s="162" t="s">
        <v>750</v>
      </c>
      <c r="Q81" s="159">
        <v>716</v>
      </c>
      <c r="R81" s="159"/>
      <c r="S81" s="140">
        <f>716*140</f>
        <v>100240</v>
      </c>
      <c r="T81" s="159"/>
      <c r="U81" s="148">
        <v>690</v>
      </c>
      <c r="V81" s="159"/>
      <c r="W81" s="153">
        <f>690*145</f>
        <v>100050</v>
      </c>
      <c r="X81" s="159"/>
      <c r="Y81" s="214">
        <v>730</v>
      </c>
      <c r="Z81" s="159"/>
      <c r="AA81" s="140">
        <f>730*145</f>
        <v>105850</v>
      </c>
      <c r="AB81" s="159"/>
      <c r="AC81" s="148">
        <v>774</v>
      </c>
      <c r="AD81" s="159"/>
      <c r="AE81" s="153">
        <f>774*145</f>
        <v>112230</v>
      </c>
      <c r="AF81" s="148">
        <v>739</v>
      </c>
      <c r="AG81" s="159"/>
      <c r="AH81" s="153">
        <f>739*160</f>
        <v>118240</v>
      </c>
      <c r="AI81" s="159">
        <v>575</v>
      </c>
      <c r="AJ81" s="159"/>
      <c r="AK81" s="140">
        <v>92000</v>
      </c>
      <c r="AL81" s="159">
        <v>663</v>
      </c>
      <c r="AM81" s="159"/>
      <c r="AN81" s="140">
        <v>106080</v>
      </c>
      <c r="AO81" s="295"/>
      <c r="AP81" s="295"/>
      <c r="AQ81" s="295"/>
      <c r="AR81" s="295"/>
      <c r="AS81" s="295"/>
      <c r="AT81" s="295"/>
      <c r="AU81" s="265" t="s">
        <v>797</v>
      </c>
    </row>
    <row r="82" spans="1:1531" ht="46.15" customHeight="1" x14ac:dyDescent="0.2">
      <c r="A82" s="305" t="s">
        <v>528</v>
      </c>
      <c r="B82" s="159"/>
      <c r="C82" s="122" t="s">
        <v>558</v>
      </c>
      <c r="D82" s="159"/>
      <c r="E82" s="123" t="s">
        <v>551</v>
      </c>
      <c r="F82" s="122"/>
      <c r="G82" s="123" t="s">
        <v>536</v>
      </c>
      <c r="H82" s="122"/>
      <c r="I82" s="145">
        <v>85</v>
      </c>
      <c r="J82" s="159"/>
      <c r="K82" s="122" t="s">
        <v>117</v>
      </c>
      <c r="L82" s="159"/>
      <c r="M82" s="122" t="s">
        <v>557</v>
      </c>
      <c r="N82" s="159"/>
      <c r="O82" s="159">
        <v>2011</v>
      </c>
      <c r="P82" s="162" t="s">
        <v>750</v>
      </c>
      <c r="Q82" s="159">
        <v>0</v>
      </c>
      <c r="R82" s="159"/>
      <c r="S82" s="140">
        <v>0</v>
      </c>
      <c r="T82" s="159"/>
      <c r="U82" s="148">
        <v>7</v>
      </c>
      <c r="V82" s="159"/>
      <c r="W82" s="153">
        <f>7*85</f>
        <v>595</v>
      </c>
      <c r="X82" s="159"/>
      <c r="Y82" s="214">
        <v>0</v>
      </c>
      <c r="Z82" s="159"/>
      <c r="AA82" s="140">
        <v>0</v>
      </c>
      <c r="AB82" s="159"/>
      <c r="AC82" s="148">
        <v>0</v>
      </c>
      <c r="AD82" s="159"/>
      <c r="AE82" s="153">
        <v>0</v>
      </c>
      <c r="AF82" s="148">
        <v>0</v>
      </c>
      <c r="AG82" s="159"/>
      <c r="AH82" s="153">
        <v>0</v>
      </c>
      <c r="AI82" s="148"/>
      <c r="AJ82" s="159"/>
      <c r="AK82" s="153"/>
      <c r="AL82" s="148"/>
      <c r="AM82" s="159"/>
      <c r="AN82" s="153"/>
      <c r="AU82" s="271" t="s">
        <v>797</v>
      </c>
    </row>
    <row r="83" spans="1:1531" s="37" customFormat="1" ht="46.15" customHeight="1" x14ac:dyDescent="0.2">
      <c r="A83" s="305" t="s">
        <v>528</v>
      </c>
      <c r="B83" s="159"/>
      <c r="C83" s="122" t="s">
        <v>558</v>
      </c>
      <c r="D83" s="159"/>
      <c r="E83" s="123" t="s">
        <v>622</v>
      </c>
      <c r="F83" s="122"/>
      <c r="G83" s="123" t="s">
        <v>536</v>
      </c>
      <c r="H83" s="122"/>
      <c r="I83" s="145">
        <v>85</v>
      </c>
      <c r="J83" s="159"/>
      <c r="K83" s="122" t="s">
        <v>117</v>
      </c>
      <c r="L83" s="159"/>
      <c r="M83" s="122" t="s">
        <v>557</v>
      </c>
      <c r="N83" s="159"/>
      <c r="O83" s="159">
        <v>2011</v>
      </c>
      <c r="P83" s="162" t="s">
        <v>750</v>
      </c>
      <c r="Q83" s="159">
        <v>0</v>
      </c>
      <c r="R83" s="159"/>
      <c r="S83" s="140">
        <v>0</v>
      </c>
      <c r="T83" s="159"/>
      <c r="U83" s="148">
        <v>10</v>
      </c>
      <c r="V83" s="159"/>
      <c r="W83" s="153">
        <f>10*85</f>
        <v>850</v>
      </c>
      <c r="X83" s="159"/>
      <c r="Y83" s="214">
        <v>0</v>
      </c>
      <c r="Z83" s="159"/>
      <c r="AA83" s="140">
        <v>0</v>
      </c>
      <c r="AB83" s="159"/>
      <c r="AC83" s="148">
        <v>0</v>
      </c>
      <c r="AD83" s="159"/>
      <c r="AE83" s="153">
        <v>0</v>
      </c>
      <c r="AF83" s="148">
        <v>0</v>
      </c>
      <c r="AG83" s="159"/>
      <c r="AH83" s="153">
        <v>0</v>
      </c>
      <c r="AI83" s="148">
        <v>0</v>
      </c>
      <c r="AJ83" s="159"/>
      <c r="AK83" s="153"/>
      <c r="AL83" s="148"/>
      <c r="AM83" s="159"/>
      <c r="AN83" s="153"/>
      <c r="AO83" s="141"/>
      <c r="AP83" s="141"/>
      <c r="AQ83" s="141"/>
      <c r="AR83" s="141"/>
      <c r="AS83" s="141"/>
      <c r="AT83" s="141"/>
      <c r="AU83" s="375" t="s">
        <v>797</v>
      </c>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c r="DD83" s="254"/>
      <c r="DE83" s="254"/>
      <c r="DF83" s="254"/>
      <c r="DG83" s="254"/>
      <c r="DH83" s="254"/>
      <c r="DI83" s="254"/>
      <c r="DJ83" s="254"/>
      <c r="DK83" s="254"/>
      <c r="DL83" s="254"/>
      <c r="DM83" s="254"/>
      <c r="DN83" s="254"/>
      <c r="DO83" s="254"/>
      <c r="DP83" s="254"/>
      <c r="DQ83" s="254"/>
      <c r="DR83" s="254"/>
      <c r="DS83" s="254"/>
      <c r="DT83" s="254"/>
      <c r="DU83" s="254"/>
      <c r="DV83" s="254"/>
      <c r="DW83" s="254"/>
      <c r="DX83" s="254"/>
      <c r="DY83" s="254"/>
      <c r="DZ83" s="254"/>
      <c r="EA83" s="254"/>
      <c r="EB83" s="254"/>
      <c r="EC83" s="254"/>
      <c r="ED83" s="254"/>
      <c r="EE83" s="254"/>
      <c r="EF83" s="254"/>
      <c r="EG83" s="254"/>
      <c r="EH83" s="254"/>
      <c r="EI83" s="254"/>
      <c r="EJ83" s="254"/>
      <c r="EK83" s="254"/>
      <c r="EL83" s="254"/>
      <c r="EM83" s="254"/>
      <c r="EN83" s="254"/>
      <c r="EO83" s="254"/>
      <c r="EP83" s="254"/>
      <c r="EQ83" s="254"/>
      <c r="ER83" s="254"/>
      <c r="ES83" s="254"/>
      <c r="ET83" s="254"/>
      <c r="EU83" s="254"/>
      <c r="EV83" s="254"/>
      <c r="EW83" s="254"/>
      <c r="EX83" s="254"/>
      <c r="EY83" s="254"/>
      <c r="EZ83" s="254"/>
      <c r="FA83" s="254"/>
      <c r="FB83" s="254"/>
      <c r="FC83" s="254"/>
      <c r="FD83" s="254"/>
      <c r="FE83" s="254"/>
      <c r="FF83" s="254"/>
      <c r="FG83" s="254"/>
      <c r="FH83" s="254"/>
      <c r="FI83" s="254"/>
      <c r="FJ83" s="254"/>
      <c r="FK83" s="254"/>
      <c r="FL83" s="254"/>
      <c r="FM83" s="254"/>
      <c r="FN83" s="254"/>
      <c r="FO83" s="254"/>
      <c r="FP83" s="254"/>
      <c r="FQ83" s="254"/>
      <c r="FR83" s="254"/>
      <c r="FS83" s="254"/>
      <c r="FT83" s="254"/>
      <c r="FU83" s="254"/>
      <c r="FV83" s="254"/>
      <c r="FW83" s="254"/>
      <c r="FX83" s="254"/>
      <c r="FY83" s="254"/>
      <c r="FZ83" s="254"/>
      <c r="GA83" s="254"/>
      <c r="GB83" s="254"/>
      <c r="GC83" s="254"/>
      <c r="GD83" s="254"/>
      <c r="GE83" s="254"/>
      <c r="GF83" s="254"/>
      <c r="GG83" s="254"/>
      <c r="GH83" s="254"/>
      <c r="GI83" s="254"/>
      <c r="GJ83" s="254"/>
      <c r="GK83" s="254"/>
      <c r="GL83" s="254"/>
      <c r="GM83" s="254"/>
      <c r="GN83" s="254"/>
      <c r="GO83" s="254"/>
      <c r="GP83" s="254"/>
      <c r="GQ83" s="254"/>
      <c r="GR83" s="254"/>
      <c r="GS83" s="254"/>
      <c r="GT83" s="254"/>
      <c r="GU83" s="254"/>
      <c r="GV83" s="254"/>
      <c r="GW83" s="254"/>
      <c r="GX83" s="254"/>
      <c r="GY83" s="254"/>
      <c r="GZ83" s="254"/>
      <c r="HA83" s="254"/>
      <c r="HB83" s="254"/>
      <c r="HC83" s="254"/>
      <c r="HD83" s="254"/>
      <c r="HE83" s="254"/>
      <c r="HF83" s="254"/>
      <c r="HG83" s="254"/>
      <c r="HH83" s="254"/>
      <c r="HI83" s="254"/>
      <c r="HJ83" s="254"/>
      <c r="HK83" s="254"/>
      <c r="HL83" s="254"/>
      <c r="HM83" s="254"/>
      <c r="HN83" s="254"/>
      <c r="HO83" s="254"/>
      <c r="HP83" s="254"/>
      <c r="HQ83" s="254"/>
      <c r="HR83" s="254"/>
      <c r="HS83" s="254"/>
      <c r="HT83" s="254"/>
      <c r="HU83" s="254"/>
      <c r="HV83" s="254"/>
      <c r="HW83" s="254"/>
      <c r="HX83" s="254"/>
      <c r="HY83" s="254"/>
      <c r="HZ83" s="254"/>
      <c r="IA83" s="254"/>
      <c r="IB83" s="254"/>
      <c r="IC83" s="254"/>
      <c r="ID83" s="254"/>
      <c r="IE83" s="254"/>
      <c r="IF83" s="254"/>
      <c r="IG83" s="254"/>
      <c r="IH83" s="254"/>
      <c r="II83" s="254"/>
      <c r="IJ83" s="254"/>
      <c r="IK83" s="254"/>
      <c r="IL83" s="254"/>
      <c r="IM83" s="254"/>
      <c r="IN83" s="254"/>
      <c r="IO83" s="254"/>
      <c r="IP83" s="254"/>
      <c r="IQ83" s="254"/>
      <c r="IR83" s="254"/>
      <c r="IS83" s="254"/>
      <c r="IT83" s="254"/>
      <c r="IU83" s="254"/>
      <c r="IV83" s="254"/>
      <c r="IW83" s="254"/>
      <c r="IX83" s="254"/>
      <c r="IY83" s="254"/>
      <c r="IZ83" s="254"/>
      <c r="JA83" s="254"/>
      <c r="JB83" s="254"/>
      <c r="JC83" s="254"/>
      <c r="JD83" s="254"/>
      <c r="JE83" s="254"/>
      <c r="JF83" s="254"/>
      <c r="JG83" s="254"/>
      <c r="JH83" s="254"/>
      <c r="JI83" s="254"/>
      <c r="JJ83" s="254"/>
      <c r="JK83" s="254"/>
      <c r="JL83" s="254"/>
      <c r="JM83" s="254"/>
      <c r="JN83" s="254"/>
      <c r="JO83" s="254"/>
      <c r="JP83" s="254"/>
      <c r="JQ83" s="254"/>
      <c r="JR83" s="254"/>
      <c r="JS83" s="254"/>
      <c r="JT83" s="254"/>
      <c r="JU83" s="254"/>
      <c r="JV83" s="254"/>
      <c r="JW83" s="254"/>
      <c r="JX83" s="254"/>
      <c r="JY83" s="254"/>
      <c r="JZ83" s="254"/>
      <c r="KA83" s="254"/>
      <c r="KB83" s="254"/>
      <c r="KC83" s="254"/>
      <c r="KD83" s="254"/>
      <c r="KE83" s="254"/>
      <c r="KF83" s="254"/>
      <c r="KG83" s="254"/>
      <c r="KH83" s="254"/>
      <c r="KI83" s="254"/>
      <c r="KJ83" s="254"/>
      <c r="KK83" s="254"/>
      <c r="KL83" s="254"/>
      <c r="KM83" s="254"/>
      <c r="KN83" s="254"/>
      <c r="KO83" s="254"/>
      <c r="KP83" s="254"/>
      <c r="KQ83" s="254"/>
      <c r="KR83" s="254"/>
      <c r="KS83" s="254"/>
      <c r="KT83" s="254"/>
      <c r="KU83" s="254"/>
      <c r="KV83" s="254"/>
      <c r="KW83" s="254"/>
      <c r="KX83" s="254"/>
      <c r="KY83" s="254"/>
      <c r="KZ83" s="254"/>
      <c r="LA83" s="254"/>
      <c r="LB83" s="254"/>
      <c r="LC83" s="254"/>
      <c r="LD83" s="254"/>
      <c r="LE83" s="254"/>
      <c r="LF83" s="254"/>
      <c r="LG83" s="254"/>
      <c r="LH83" s="254"/>
      <c r="LI83" s="254"/>
      <c r="LJ83" s="254"/>
      <c r="LK83" s="254"/>
      <c r="LL83" s="254"/>
      <c r="LM83" s="254"/>
      <c r="LN83" s="254"/>
      <c r="LO83" s="254"/>
      <c r="LP83" s="254"/>
      <c r="LQ83" s="254"/>
      <c r="LR83" s="254"/>
      <c r="LS83" s="254"/>
      <c r="LT83" s="254"/>
      <c r="LU83" s="254"/>
      <c r="LV83" s="254"/>
      <c r="LW83" s="254"/>
      <c r="LX83" s="254"/>
      <c r="LY83" s="254"/>
      <c r="LZ83" s="254"/>
      <c r="MA83" s="254"/>
      <c r="MB83" s="254"/>
      <c r="MC83" s="254"/>
      <c r="MD83" s="254"/>
      <c r="ME83" s="254"/>
      <c r="MF83" s="254"/>
      <c r="MG83" s="254"/>
      <c r="MH83" s="254"/>
      <c r="MI83" s="254"/>
      <c r="MJ83" s="254"/>
      <c r="MK83" s="254"/>
      <c r="ML83" s="254"/>
      <c r="MM83" s="254"/>
      <c r="MN83" s="254"/>
      <c r="MO83" s="254"/>
      <c r="MP83" s="254"/>
      <c r="MQ83" s="254"/>
      <c r="MR83" s="254"/>
      <c r="MS83" s="254"/>
      <c r="MT83" s="254"/>
      <c r="MU83" s="254"/>
      <c r="MV83" s="254"/>
      <c r="MW83" s="254"/>
      <c r="MX83" s="254"/>
      <c r="MY83" s="254"/>
      <c r="MZ83" s="254"/>
      <c r="NA83" s="254"/>
      <c r="NB83" s="254"/>
      <c r="NC83" s="254"/>
      <c r="ND83" s="254"/>
      <c r="NE83" s="254"/>
      <c r="NF83" s="254"/>
      <c r="NG83" s="254"/>
      <c r="NH83" s="254"/>
      <c r="NI83" s="254"/>
      <c r="NJ83" s="254"/>
      <c r="NK83" s="254"/>
      <c r="NL83" s="254"/>
      <c r="NM83" s="254"/>
      <c r="NN83" s="254"/>
      <c r="NO83" s="254"/>
      <c r="NP83" s="254"/>
      <c r="NQ83" s="254"/>
      <c r="NR83" s="254"/>
      <c r="NS83" s="254"/>
      <c r="NT83" s="254"/>
      <c r="NU83" s="254"/>
      <c r="NV83" s="254"/>
      <c r="NW83" s="254"/>
      <c r="NX83" s="254"/>
      <c r="NY83" s="254"/>
      <c r="NZ83" s="254"/>
      <c r="OA83" s="254"/>
      <c r="OB83" s="254"/>
      <c r="OC83" s="254"/>
      <c r="OD83" s="254"/>
      <c r="OE83" s="254"/>
      <c r="OF83" s="254"/>
      <c r="OG83" s="254"/>
      <c r="OH83" s="254"/>
      <c r="OI83" s="254"/>
      <c r="OJ83" s="254"/>
      <c r="OK83" s="254"/>
      <c r="OL83" s="254"/>
      <c r="OM83" s="254"/>
      <c r="ON83" s="254"/>
      <c r="OO83" s="254"/>
      <c r="OP83" s="254"/>
      <c r="OQ83" s="254"/>
      <c r="OR83" s="254"/>
      <c r="OS83" s="254"/>
      <c r="OT83" s="254"/>
      <c r="OU83" s="254"/>
      <c r="OV83" s="254"/>
      <c r="OW83" s="254"/>
      <c r="OX83" s="254"/>
      <c r="OY83" s="254"/>
      <c r="OZ83" s="254"/>
      <c r="PA83" s="254"/>
      <c r="PB83" s="254"/>
      <c r="PC83" s="254"/>
      <c r="PD83" s="254"/>
      <c r="PE83" s="254"/>
      <c r="PF83" s="254"/>
      <c r="PG83" s="254"/>
      <c r="PH83" s="254"/>
      <c r="PI83" s="254"/>
      <c r="PJ83" s="254"/>
      <c r="PK83" s="254"/>
      <c r="PL83" s="254"/>
      <c r="PM83" s="254"/>
      <c r="PN83" s="254"/>
      <c r="PO83" s="254"/>
      <c r="PP83" s="254"/>
      <c r="PQ83" s="254"/>
      <c r="PR83" s="254"/>
      <c r="PS83" s="254"/>
      <c r="PT83" s="254"/>
      <c r="PU83" s="254"/>
      <c r="PV83" s="254"/>
      <c r="PW83" s="254"/>
      <c r="PX83" s="254"/>
      <c r="PY83" s="254"/>
      <c r="PZ83" s="254"/>
      <c r="QA83" s="254"/>
      <c r="QB83" s="254"/>
      <c r="QC83" s="254"/>
      <c r="QD83" s="254"/>
      <c r="QE83" s="254"/>
      <c r="QF83" s="254"/>
      <c r="QG83" s="254"/>
      <c r="QH83" s="254"/>
      <c r="QI83" s="254"/>
      <c r="QJ83" s="254"/>
      <c r="QK83" s="254"/>
      <c r="QL83" s="254"/>
      <c r="QM83" s="254"/>
      <c r="QN83" s="254"/>
      <c r="QO83" s="254"/>
      <c r="QP83" s="254"/>
      <c r="QQ83" s="254"/>
      <c r="QR83" s="254"/>
      <c r="QS83" s="254"/>
      <c r="QT83" s="254"/>
      <c r="QU83" s="254"/>
      <c r="QV83" s="254"/>
      <c r="QW83" s="254"/>
      <c r="QX83" s="254"/>
      <c r="QY83" s="254"/>
      <c r="QZ83" s="254"/>
      <c r="RA83" s="254"/>
      <c r="RB83" s="254"/>
      <c r="RC83" s="254"/>
      <c r="RD83" s="254"/>
      <c r="RE83" s="254"/>
      <c r="RF83" s="254"/>
      <c r="RG83" s="254"/>
      <c r="RH83" s="254"/>
      <c r="RI83" s="254"/>
      <c r="RJ83" s="254"/>
      <c r="RK83" s="254"/>
      <c r="RL83" s="254"/>
      <c r="RM83" s="254"/>
      <c r="RN83" s="254"/>
      <c r="RO83" s="254"/>
      <c r="RP83" s="254"/>
      <c r="RQ83" s="254"/>
      <c r="RR83" s="254"/>
      <c r="RS83" s="254"/>
      <c r="RT83" s="254"/>
      <c r="RU83" s="254"/>
      <c r="RV83" s="254"/>
      <c r="RW83" s="254"/>
      <c r="RX83" s="254"/>
      <c r="RY83" s="254"/>
      <c r="RZ83" s="254"/>
      <c r="SA83" s="254"/>
      <c r="SB83" s="254"/>
      <c r="SC83" s="254"/>
      <c r="SD83" s="254"/>
      <c r="SE83" s="254"/>
      <c r="SF83" s="254"/>
      <c r="SG83" s="254"/>
      <c r="SH83" s="254"/>
      <c r="SI83" s="254"/>
      <c r="SJ83" s="254"/>
      <c r="SK83" s="254"/>
      <c r="SL83" s="254"/>
      <c r="SM83" s="254"/>
      <c r="SN83" s="254"/>
      <c r="SO83" s="254"/>
      <c r="SP83" s="254"/>
      <c r="SQ83" s="254"/>
      <c r="SR83" s="254"/>
      <c r="SS83" s="254"/>
      <c r="ST83" s="254"/>
      <c r="SU83" s="254"/>
      <c r="SV83" s="254"/>
      <c r="SW83" s="254"/>
      <c r="SX83" s="254"/>
      <c r="SY83" s="254"/>
      <c r="SZ83" s="254"/>
      <c r="TA83" s="254"/>
      <c r="TB83" s="254"/>
      <c r="TC83" s="254"/>
      <c r="TD83" s="254"/>
      <c r="TE83" s="254"/>
      <c r="TF83" s="254"/>
      <c r="TG83" s="254"/>
      <c r="TH83" s="254"/>
      <c r="TI83" s="254"/>
      <c r="TJ83" s="254"/>
      <c r="TK83" s="254"/>
      <c r="TL83" s="254"/>
      <c r="TM83" s="254"/>
      <c r="TN83" s="254"/>
      <c r="TO83" s="254"/>
      <c r="TP83" s="254"/>
      <c r="TQ83" s="254"/>
      <c r="TR83" s="254"/>
      <c r="TS83" s="254"/>
      <c r="TT83" s="254"/>
      <c r="TU83" s="254"/>
      <c r="TV83" s="254"/>
      <c r="TW83" s="254"/>
      <c r="TX83" s="254"/>
      <c r="TY83" s="254"/>
      <c r="TZ83" s="254"/>
      <c r="UA83" s="254"/>
      <c r="UB83" s="254"/>
      <c r="UC83" s="254"/>
      <c r="UD83" s="254"/>
      <c r="UE83" s="254"/>
      <c r="UF83" s="254"/>
      <c r="UG83" s="254"/>
      <c r="UH83" s="254"/>
      <c r="UI83" s="254"/>
      <c r="UJ83" s="254"/>
      <c r="UK83" s="254"/>
      <c r="UL83" s="254"/>
      <c r="UM83" s="254"/>
      <c r="UN83" s="254"/>
      <c r="UO83" s="254"/>
      <c r="UP83" s="254"/>
      <c r="UQ83" s="254"/>
      <c r="UR83" s="254"/>
      <c r="US83" s="254"/>
      <c r="UT83" s="254"/>
      <c r="UU83" s="254"/>
      <c r="UV83" s="254"/>
      <c r="UW83" s="254"/>
      <c r="UX83" s="254"/>
      <c r="UY83" s="254"/>
      <c r="UZ83" s="254"/>
      <c r="VA83" s="254"/>
      <c r="VB83" s="254"/>
      <c r="VC83" s="254"/>
      <c r="VD83" s="254"/>
      <c r="VE83" s="254"/>
      <c r="VF83" s="254"/>
      <c r="VG83" s="254"/>
      <c r="VH83" s="254"/>
      <c r="VI83" s="254"/>
      <c r="VJ83" s="254"/>
      <c r="VK83" s="254"/>
      <c r="VL83" s="254"/>
      <c r="VM83" s="254"/>
      <c r="VN83" s="254"/>
      <c r="VO83" s="254"/>
      <c r="VP83" s="254"/>
      <c r="VQ83" s="254"/>
      <c r="VR83" s="254"/>
      <c r="VS83" s="254"/>
      <c r="VT83" s="254"/>
      <c r="VU83" s="254"/>
      <c r="VV83" s="254"/>
      <c r="VW83" s="254"/>
      <c r="VX83" s="254"/>
      <c r="VY83" s="254"/>
      <c r="VZ83" s="254"/>
      <c r="WA83" s="254"/>
      <c r="WB83" s="254"/>
      <c r="WC83" s="254"/>
      <c r="WD83" s="254"/>
      <c r="WE83" s="254"/>
      <c r="WF83" s="254"/>
      <c r="WG83" s="254"/>
      <c r="WH83" s="254"/>
      <c r="WI83" s="254"/>
      <c r="WJ83" s="254"/>
      <c r="WK83" s="254"/>
      <c r="WL83" s="254"/>
      <c r="WM83" s="254"/>
      <c r="WN83" s="254"/>
      <c r="WO83" s="254"/>
      <c r="WP83" s="254"/>
      <c r="WQ83" s="254"/>
      <c r="WR83" s="254"/>
      <c r="WS83" s="254"/>
      <c r="WT83" s="254"/>
      <c r="WU83" s="254"/>
      <c r="WV83" s="254"/>
      <c r="WW83" s="254"/>
      <c r="WX83" s="254"/>
      <c r="WY83" s="254"/>
      <c r="WZ83" s="254"/>
      <c r="XA83" s="254"/>
      <c r="XB83" s="254"/>
      <c r="XC83" s="254"/>
      <c r="XD83" s="254"/>
      <c r="XE83" s="254"/>
      <c r="XF83" s="254"/>
      <c r="XG83" s="254"/>
      <c r="XH83" s="254"/>
      <c r="XI83" s="254"/>
      <c r="XJ83" s="254"/>
      <c r="XK83" s="254"/>
      <c r="XL83" s="254"/>
      <c r="XM83" s="254"/>
      <c r="XN83" s="254"/>
      <c r="XO83" s="254"/>
      <c r="XP83" s="254"/>
      <c r="XQ83" s="254"/>
      <c r="XR83" s="254"/>
      <c r="XS83" s="254"/>
      <c r="XT83" s="254"/>
      <c r="XU83" s="254"/>
      <c r="XV83" s="254"/>
      <c r="XW83" s="254"/>
      <c r="XX83" s="254"/>
      <c r="XY83" s="254"/>
      <c r="XZ83" s="254"/>
      <c r="YA83" s="254"/>
      <c r="YB83" s="254"/>
      <c r="YC83" s="254"/>
      <c r="YD83" s="254"/>
      <c r="YE83" s="254"/>
      <c r="YF83" s="254"/>
      <c r="YG83" s="254"/>
      <c r="YH83" s="254"/>
      <c r="YI83" s="254"/>
      <c r="YJ83" s="254"/>
      <c r="YK83" s="254"/>
      <c r="YL83" s="254"/>
      <c r="YM83" s="254"/>
      <c r="YN83" s="254"/>
      <c r="YO83" s="254"/>
      <c r="YP83" s="254"/>
      <c r="YQ83" s="254"/>
      <c r="YR83" s="254"/>
      <c r="YS83" s="254"/>
      <c r="YT83" s="254"/>
      <c r="YU83" s="254"/>
      <c r="YV83" s="254"/>
      <c r="YW83" s="254"/>
      <c r="YX83" s="254"/>
      <c r="YY83" s="254"/>
      <c r="YZ83" s="254"/>
      <c r="ZA83" s="254"/>
      <c r="ZB83" s="254"/>
      <c r="ZC83" s="254"/>
      <c r="ZD83" s="254"/>
      <c r="ZE83" s="254"/>
      <c r="ZF83" s="254"/>
      <c r="ZG83" s="254"/>
      <c r="ZH83" s="254"/>
      <c r="ZI83" s="254"/>
      <c r="ZJ83" s="254"/>
      <c r="ZK83" s="254"/>
      <c r="ZL83" s="254"/>
      <c r="ZM83" s="254"/>
      <c r="ZN83" s="254"/>
      <c r="ZO83" s="254"/>
      <c r="ZP83" s="254"/>
      <c r="ZQ83" s="254"/>
      <c r="ZR83" s="254"/>
      <c r="ZS83" s="254"/>
      <c r="ZT83" s="254"/>
      <c r="ZU83" s="254"/>
      <c r="ZV83" s="254"/>
      <c r="ZW83" s="254"/>
      <c r="ZX83" s="254"/>
      <c r="ZY83" s="254"/>
      <c r="ZZ83" s="254"/>
      <c r="AAA83" s="254"/>
      <c r="AAB83" s="254"/>
      <c r="AAC83" s="254"/>
      <c r="AAD83" s="254"/>
      <c r="AAE83" s="254"/>
      <c r="AAF83" s="254"/>
      <c r="AAG83" s="254"/>
      <c r="AAH83" s="254"/>
      <c r="AAI83" s="254"/>
      <c r="AAJ83" s="254"/>
      <c r="AAK83" s="254"/>
      <c r="AAL83" s="254"/>
      <c r="AAM83" s="254"/>
      <c r="AAN83" s="254"/>
      <c r="AAO83" s="254"/>
      <c r="AAP83" s="254"/>
      <c r="AAQ83" s="254"/>
      <c r="AAR83" s="254"/>
      <c r="AAS83" s="254"/>
      <c r="AAT83" s="254"/>
      <c r="AAU83" s="254"/>
      <c r="AAV83" s="254"/>
      <c r="AAW83" s="254"/>
      <c r="AAX83" s="254"/>
      <c r="AAY83" s="254"/>
      <c r="AAZ83" s="254"/>
      <c r="ABA83" s="254"/>
      <c r="ABB83" s="254"/>
      <c r="ABC83" s="254"/>
      <c r="ABD83" s="254"/>
      <c r="ABE83" s="254"/>
      <c r="ABF83" s="254"/>
      <c r="ABG83" s="254"/>
      <c r="ABH83" s="254"/>
      <c r="ABI83" s="254"/>
      <c r="ABJ83" s="254"/>
      <c r="ABK83" s="254"/>
      <c r="ABL83" s="254"/>
      <c r="ABM83" s="254"/>
      <c r="ABN83" s="254"/>
      <c r="ABO83" s="254"/>
      <c r="ABP83" s="254"/>
      <c r="ABQ83" s="254"/>
      <c r="ABR83" s="254"/>
      <c r="ABS83" s="254"/>
      <c r="ABT83" s="254"/>
      <c r="ABU83" s="254"/>
      <c r="ABV83" s="254"/>
      <c r="ABW83" s="254"/>
      <c r="ABX83" s="254"/>
      <c r="ABY83" s="254"/>
      <c r="ABZ83" s="254"/>
      <c r="ACA83" s="254"/>
      <c r="ACB83" s="254"/>
      <c r="ACC83" s="254"/>
      <c r="ACD83" s="254"/>
      <c r="ACE83" s="254"/>
      <c r="ACF83" s="254"/>
      <c r="ACG83" s="254"/>
      <c r="ACH83" s="254"/>
      <c r="ACI83" s="254"/>
      <c r="ACJ83" s="254"/>
      <c r="ACK83" s="254"/>
      <c r="ACL83" s="254"/>
      <c r="ACM83" s="254"/>
      <c r="ACN83" s="254"/>
      <c r="ACO83" s="254"/>
      <c r="ACP83" s="254"/>
      <c r="ACQ83" s="254"/>
      <c r="ACR83" s="254"/>
      <c r="ACS83" s="254"/>
      <c r="ACT83" s="254"/>
      <c r="ACU83" s="254"/>
      <c r="ACV83" s="254"/>
      <c r="ACW83" s="254"/>
      <c r="ACX83" s="254"/>
      <c r="ACY83" s="254"/>
      <c r="ACZ83" s="254"/>
      <c r="ADA83" s="254"/>
      <c r="ADB83" s="254"/>
      <c r="ADC83" s="254"/>
      <c r="ADD83" s="254"/>
      <c r="ADE83" s="254"/>
      <c r="ADF83" s="254"/>
      <c r="ADG83" s="254"/>
      <c r="ADH83" s="254"/>
      <c r="ADI83" s="254"/>
      <c r="ADJ83" s="254"/>
      <c r="ADK83" s="254"/>
      <c r="ADL83" s="254"/>
      <c r="ADM83" s="254"/>
      <c r="ADN83" s="254"/>
      <c r="ADO83" s="254"/>
      <c r="ADP83" s="254"/>
      <c r="ADQ83" s="254"/>
      <c r="ADR83" s="254"/>
      <c r="ADS83" s="254"/>
      <c r="ADT83" s="254"/>
      <c r="ADU83" s="254"/>
      <c r="ADV83" s="254"/>
      <c r="ADW83" s="254"/>
      <c r="ADX83" s="254"/>
      <c r="ADY83" s="254"/>
      <c r="ADZ83" s="254"/>
      <c r="AEA83" s="254"/>
      <c r="AEB83" s="254"/>
      <c r="AEC83" s="254"/>
      <c r="AED83" s="254"/>
      <c r="AEE83" s="254"/>
      <c r="AEF83" s="254"/>
      <c r="AEG83" s="254"/>
      <c r="AEH83" s="254"/>
      <c r="AEI83" s="254"/>
      <c r="AEJ83" s="254"/>
      <c r="AEK83" s="254"/>
      <c r="AEL83" s="254"/>
      <c r="AEM83" s="254"/>
      <c r="AEN83" s="254"/>
      <c r="AEO83" s="254"/>
      <c r="AEP83" s="254"/>
      <c r="AEQ83" s="254"/>
      <c r="AER83" s="254"/>
      <c r="AES83" s="254"/>
      <c r="AET83" s="254"/>
      <c r="AEU83" s="254"/>
      <c r="AEV83" s="254"/>
      <c r="AEW83" s="254"/>
      <c r="AEX83" s="254"/>
      <c r="AEY83" s="254"/>
      <c r="AEZ83" s="254"/>
      <c r="AFA83" s="254"/>
      <c r="AFB83" s="254"/>
      <c r="AFC83" s="254"/>
      <c r="AFD83" s="254"/>
      <c r="AFE83" s="254"/>
      <c r="AFF83" s="254"/>
      <c r="AFG83" s="254"/>
      <c r="AFH83" s="254"/>
      <c r="AFI83" s="254"/>
      <c r="AFJ83" s="254"/>
      <c r="AFK83" s="254"/>
      <c r="AFL83" s="254"/>
      <c r="AFM83" s="254"/>
      <c r="AFN83" s="254"/>
      <c r="AFO83" s="254"/>
      <c r="AFP83" s="254"/>
      <c r="AFQ83" s="254"/>
      <c r="AFR83" s="254"/>
      <c r="AFS83" s="254"/>
      <c r="AFT83" s="254"/>
      <c r="AFU83" s="254"/>
      <c r="AFV83" s="254"/>
      <c r="AFW83" s="254"/>
      <c r="AFX83" s="254"/>
      <c r="AFY83" s="254"/>
      <c r="AFZ83" s="254"/>
      <c r="AGA83" s="254"/>
      <c r="AGB83" s="254"/>
      <c r="AGC83" s="254"/>
      <c r="AGD83" s="254"/>
      <c r="AGE83" s="254"/>
      <c r="AGF83" s="254"/>
      <c r="AGG83" s="254"/>
      <c r="AGH83" s="254"/>
      <c r="AGI83" s="254"/>
      <c r="AGJ83" s="254"/>
      <c r="AGK83" s="254"/>
      <c r="AGL83" s="254"/>
      <c r="AGM83" s="254"/>
      <c r="AGN83" s="254"/>
      <c r="AGO83" s="254"/>
      <c r="AGP83" s="254"/>
      <c r="AGQ83" s="254"/>
      <c r="AGR83" s="254"/>
      <c r="AGS83" s="254"/>
      <c r="AGT83" s="254"/>
      <c r="AGU83" s="254"/>
      <c r="AGV83" s="254"/>
      <c r="AGW83" s="254"/>
      <c r="AGX83" s="254"/>
      <c r="AGY83" s="254"/>
      <c r="AGZ83" s="254"/>
      <c r="AHA83" s="254"/>
      <c r="AHB83" s="254"/>
      <c r="AHC83" s="254"/>
      <c r="AHD83" s="254"/>
      <c r="AHE83" s="254"/>
      <c r="AHF83" s="254"/>
      <c r="AHG83" s="254"/>
      <c r="AHH83" s="254"/>
      <c r="AHI83" s="254"/>
      <c r="AHJ83" s="254"/>
      <c r="AHK83" s="254"/>
      <c r="AHL83" s="254"/>
      <c r="AHM83" s="254"/>
      <c r="AHN83" s="254"/>
      <c r="AHO83" s="254"/>
      <c r="AHP83" s="254"/>
      <c r="AHQ83" s="254"/>
      <c r="AHR83" s="254"/>
      <c r="AHS83" s="254"/>
      <c r="AHT83" s="254"/>
      <c r="AHU83" s="254"/>
      <c r="AHV83" s="254"/>
      <c r="AHW83" s="254"/>
      <c r="AHX83" s="254"/>
      <c r="AHY83" s="254"/>
      <c r="AHZ83" s="254"/>
      <c r="AIA83" s="254"/>
      <c r="AIB83" s="254"/>
      <c r="AIC83" s="254"/>
      <c r="AID83" s="254"/>
      <c r="AIE83" s="254"/>
      <c r="AIF83" s="254"/>
      <c r="AIG83" s="254"/>
      <c r="AIH83" s="254"/>
      <c r="AII83" s="254"/>
      <c r="AIJ83" s="254"/>
      <c r="AIK83" s="254"/>
      <c r="AIL83" s="254"/>
      <c r="AIM83" s="254"/>
      <c r="AIN83" s="254"/>
      <c r="AIO83" s="254"/>
      <c r="AIP83" s="254"/>
      <c r="AIQ83" s="254"/>
      <c r="AIR83" s="254"/>
      <c r="AIS83" s="254"/>
      <c r="AIT83" s="254"/>
      <c r="AIU83" s="254"/>
      <c r="AIV83" s="254"/>
      <c r="AIW83" s="254"/>
      <c r="AIX83" s="254"/>
      <c r="AIY83" s="254"/>
      <c r="AIZ83" s="254"/>
      <c r="AJA83" s="254"/>
      <c r="AJB83" s="254"/>
      <c r="AJC83" s="254"/>
      <c r="AJD83" s="254"/>
      <c r="AJE83" s="254"/>
      <c r="AJF83" s="254"/>
      <c r="AJG83" s="254"/>
      <c r="AJH83" s="254"/>
      <c r="AJI83" s="254"/>
      <c r="AJJ83" s="254"/>
      <c r="AJK83" s="254"/>
      <c r="AJL83" s="254"/>
      <c r="AJM83" s="254"/>
      <c r="AJN83" s="254"/>
      <c r="AJO83" s="254"/>
      <c r="AJP83" s="254"/>
      <c r="AJQ83" s="254"/>
      <c r="AJR83" s="254"/>
      <c r="AJS83" s="254"/>
      <c r="AJT83" s="254"/>
      <c r="AJU83" s="254"/>
      <c r="AJV83" s="254"/>
      <c r="AJW83" s="254"/>
      <c r="AJX83" s="254"/>
      <c r="AJY83" s="254"/>
      <c r="AJZ83" s="254"/>
      <c r="AKA83" s="254"/>
      <c r="AKB83" s="254"/>
      <c r="AKC83" s="254"/>
      <c r="AKD83" s="254"/>
      <c r="AKE83" s="254"/>
      <c r="AKF83" s="254"/>
      <c r="AKG83" s="254"/>
      <c r="AKH83" s="254"/>
      <c r="AKI83" s="254"/>
      <c r="AKJ83" s="254"/>
      <c r="AKK83" s="254"/>
      <c r="AKL83" s="254"/>
      <c r="AKM83" s="254"/>
      <c r="AKN83" s="254"/>
      <c r="AKO83" s="254"/>
      <c r="AKP83" s="254"/>
      <c r="AKQ83" s="254"/>
      <c r="AKR83" s="254"/>
      <c r="AKS83" s="254"/>
      <c r="AKT83" s="254"/>
      <c r="AKU83" s="254"/>
      <c r="AKV83" s="254"/>
      <c r="AKW83" s="254"/>
      <c r="AKX83" s="254"/>
      <c r="AKY83" s="254"/>
      <c r="AKZ83" s="254"/>
      <c r="ALA83" s="254"/>
      <c r="ALB83" s="254"/>
      <c r="ALC83" s="254"/>
      <c r="ALD83" s="254"/>
      <c r="ALE83" s="254"/>
      <c r="ALF83" s="254"/>
      <c r="ALG83" s="254"/>
      <c r="ALH83" s="254"/>
      <c r="ALI83" s="254"/>
      <c r="ALJ83" s="254"/>
      <c r="ALK83" s="254"/>
      <c r="ALL83" s="254"/>
      <c r="ALM83" s="254"/>
      <c r="ALN83" s="254"/>
      <c r="ALO83" s="254"/>
      <c r="ALP83" s="254"/>
      <c r="ALQ83" s="254"/>
      <c r="ALR83" s="254"/>
      <c r="ALS83" s="254"/>
      <c r="ALT83" s="254"/>
      <c r="ALU83" s="254"/>
      <c r="ALV83" s="254"/>
      <c r="ALW83" s="254"/>
      <c r="ALX83" s="254"/>
      <c r="ALY83" s="254"/>
      <c r="ALZ83" s="254"/>
      <c r="AMA83" s="254"/>
      <c r="AMB83" s="254"/>
      <c r="AMC83" s="254"/>
      <c r="AMD83" s="254"/>
      <c r="AME83" s="254"/>
      <c r="AMF83" s="254"/>
      <c r="AMG83" s="254"/>
      <c r="AMH83" s="254"/>
      <c r="AMI83" s="254"/>
      <c r="AMJ83" s="254"/>
      <c r="AMK83" s="254"/>
      <c r="AML83" s="254"/>
      <c r="AMM83" s="254"/>
      <c r="AMN83" s="254"/>
      <c r="AMO83" s="254"/>
      <c r="AMP83" s="254"/>
      <c r="AMQ83" s="254"/>
      <c r="AMR83" s="254"/>
      <c r="AMS83" s="254"/>
      <c r="AMT83" s="254"/>
      <c r="AMU83" s="254"/>
      <c r="AMV83" s="254"/>
      <c r="AMW83" s="254"/>
      <c r="AMX83" s="254"/>
      <c r="AMY83" s="254"/>
      <c r="AMZ83" s="254"/>
      <c r="ANA83" s="254"/>
      <c r="ANB83" s="254"/>
      <c r="ANC83" s="254"/>
      <c r="AND83" s="254"/>
      <c r="ANE83" s="254"/>
      <c r="ANF83" s="254"/>
      <c r="ANG83" s="254"/>
      <c r="ANH83" s="254"/>
      <c r="ANI83" s="254"/>
      <c r="ANJ83" s="254"/>
      <c r="ANK83" s="254"/>
      <c r="ANL83" s="254"/>
      <c r="ANM83" s="254"/>
      <c r="ANN83" s="254"/>
      <c r="ANO83" s="254"/>
      <c r="ANP83" s="254"/>
      <c r="ANQ83" s="254"/>
      <c r="ANR83" s="254"/>
      <c r="ANS83" s="254"/>
      <c r="ANT83" s="254"/>
      <c r="ANU83" s="254"/>
      <c r="ANV83" s="254"/>
      <c r="ANW83" s="254"/>
      <c r="ANX83" s="254"/>
      <c r="ANY83" s="254"/>
      <c r="ANZ83" s="254"/>
      <c r="AOA83" s="254"/>
      <c r="AOB83" s="254"/>
      <c r="AOC83" s="254"/>
      <c r="AOD83" s="254"/>
      <c r="AOE83" s="254"/>
      <c r="AOF83" s="254"/>
      <c r="AOG83" s="254"/>
      <c r="AOH83" s="254"/>
      <c r="AOI83" s="254"/>
      <c r="AOJ83" s="254"/>
      <c r="AOK83" s="254"/>
      <c r="AOL83" s="254"/>
      <c r="AOM83" s="254"/>
      <c r="AON83" s="254"/>
      <c r="AOO83" s="254"/>
      <c r="AOP83" s="254"/>
      <c r="AOQ83" s="254"/>
      <c r="AOR83" s="254"/>
      <c r="AOS83" s="254"/>
      <c r="AOT83" s="254"/>
      <c r="AOU83" s="254"/>
      <c r="AOV83" s="254"/>
      <c r="AOW83" s="254"/>
      <c r="AOX83" s="254"/>
      <c r="AOY83" s="254"/>
      <c r="AOZ83" s="254"/>
      <c r="APA83" s="254"/>
      <c r="APB83" s="254"/>
      <c r="APC83" s="254"/>
      <c r="APD83" s="254"/>
      <c r="APE83" s="254"/>
      <c r="APF83" s="254"/>
      <c r="APG83" s="254"/>
      <c r="APH83" s="254"/>
      <c r="API83" s="254"/>
      <c r="APJ83" s="254"/>
      <c r="APK83" s="254"/>
      <c r="APL83" s="254"/>
      <c r="APM83" s="254"/>
      <c r="APN83" s="254"/>
      <c r="APO83" s="254"/>
      <c r="APP83" s="254"/>
      <c r="APQ83" s="254"/>
      <c r="APR83" s="254"/>
      <c r="APS83" s="254"/>
      <c r="APT83" s="254"/>
      <c r="APU83" s="254"/>
      <c r="APV83" s="254"/>
      <c r="APW83" s="254"/>
      <c r="APX83" s="254"/>
      <c r="APY83" s="254"/>
      <c r="APZ83" s="254"/>
      <c r="AQA83" s="254"/>
      <c r="AQB83" s="254"/>
      <c r="AQC83" s="254"/>
      <c r="AQD83" s="254"/>
      <c r="AQE83" s="254"/>
      <c r="AQF83" s="254"/>
      <c r="AQG83" s="254"/>
      <c r="AQH83" s="254"/>
      <c r="AQI83" s="254"/>
      <c r="AQJ83" s="254"/>
      <c r="AQK83" s="254"/>
      <c r="AQL83" s="254"/>
      <c r="AQM83" s="254"/>
      <c r="AQN83" s="254"/>
      <c r="AQO83" s="254"/>
      <c r="AQP83" s="254"/>
      <c r="AQQ83" s="254"/>
      <c r="AQR83" s="254"/>
      <c r="AQS83" s="254"/>
      <c r="AQT83" s="254"/>
      <c r="AQU83" s="254"/>
      <c r="AQV83" s="254"/>
      <c r="AQW83" s="254"/>
      <c r="AQX83" s="254"/>
      <c r="AQY83" s="254"/>
      <c r="AQZ83" s="254"/>
      <c r="ARA83" s="254"/>
      <c r="ARB83" s="254"/>
      <c r="ARC83" s="254"/>
      <c r="ARD83" s="254"/>
      <c r="ARE83" s="254"/>
      <c r="ARF83" s="254"/>
      <c r="ARG83" s="254"/>
      <c r="ARH83" s="254"/>
      <c r="ARI83" s="254"/>
      <c r="ARJ83" s="254"/>
      <c r="ARK83" s="254"/>
      <c r="ARL83" s="254"/>
      <c r="ARM83" s="254"/>
      <c r="ARN83" s="254"/>
      <c r="ARO83" s="254"/>
      <c r="ARP83" s="254"/>
      <c r="ARQ83" s="254"/>
      <c r="ARR83" s="254"/>
      <c r="ARS83" s="254"/>
      <c r="ART83" s="254"/>
      <c r="ARU83" s="254"/>
      <c r="ARV83" s="254"/>
      <c r="ARW83" s="254"/>
      <c r="ARX83" s="254"/>
      <c r="ARY83" s="254"/>
      <c r="ARZ83" s="254"/>
      <c r="ASA83" s="254"/>
      <c r="ASB83" s="254"/>
      <c r="ASC83" s="254"/>
      <c r="ASD83" s="254"/>
      <c r="ASE83" s="254"/>
      <c r="ASF83" s="254"/>
      <c r="ASG83" s="254"/>
      <c r="ASH83" s="254"/>
      <c r="ASI83" s="254"/>
      <c r="ASJ83" s="254"/>
      <c r="ASK83" s="254"/>
      <c r="ASL83" s="254"/>
      <c r="ASM83" s="254"/>
      <c r="ASN83" s="254"/>
      <c r="ASO83" s="254"/>
      <c r="ASP83" s="254"/>
      <c r="ASQ83" s="254"/>
      <c r="ASR83" s="254"/>
      <c r="ASS83" s="254"/>
      <c r="AST83" s="254"/>
      <c r="ASU83" s="254"/>
      <c r="ASV83" s="254"/>
      <c r="ASW83" s="254"/>
      <c r="ASX83" s="254"/>
      <c r="ASY83" s="254"/>
      <c r="ASZ83" s="254"/>
      <c r="ATA83" s="254"/>
      <c r="ATB83" s="254"/>
      <c r="ATC83" s="254"/>
      <c r="ATD83" s="254"/>
      <c r="ATE83" s="254"/>
      <c r="ATF83" s="254"/>
      <c r="ATG83" s="254"/>
      <c r="ATH83" s="254"/>
      <c r="ATI83" s="254"/>
      <c r="ATJ83" s="254"/>
      <c r="ATK83" s="254"/>
      <c r="ATL83" s="254"/>
      <c r="ATM83" s="254"/>
      <c r="ATN83" s="254"/>
      <c r="ATO83" s="254"/>
      <c r="ATP83" s="254"/>
      <c r="ATQ83" s="254"/>
      <c r="ATR83" s="254"/>
      <c r="ATS83" s="254"/>
      <c r="ATT83" s="254"/>
      <c r="ATU83" s="254"/>
      <c r="ATV83" s="254"/>
      <c r="ATW83" s="254"/>
      <c r="ATX83" s="254"/>
      <c r="ATY83" s="254"/>
      <c r="ATZ83" s="254"/>
      <c r="AUA83" s="254"/>
      <c r="AUB83" s="254"/>
      <c r="AUC83" s="254"/>
      <c r="AUD83" s="254"/>
      <c r="AUE83" s="254"/>
      <c r="AUF83" s="254"/>
      <c r="AUG83" s="254"/>
      <c r="AUH83" s="254"/>
      <c r="AUI83" s="254"/>
      <c r="AUJ83" s="254"/>
      <c r="AUK83" s="254"/>
      <c r="AUL83" s="254"/>
      <c r="AUM83" s="254"/>
      <c r="AUN83" s="254"/>
      <c r="AUO83" s="254"/>
      <c r="AUP83" s="254"/>
      <c r="AUQ83" s="254"/>
      <c r="AUR83" s="254"/>
      <c r="AUS83" s="254"/>
      <c r="AUT83" s="254"/>
      <c r="AUU83" s="254"/>
      <c r="AUV83" s="254"/>
      <c r="AUW83" s="254"/>
      <c r="AUX83" s="254"/>
      <c r="AUY83" s="254"/>
      <c r="AUZ83" s="254"/>
      <c r="AVA83" s="254"/>
      <c r="AVB83" s="254"/>
      <c r="AVC83" s="254"/>
      <c r="AVD83" s="254"/>
      <c r="AVE83" s="254"/>
      <c r="AVF83" s="254"/>
      <c r="AVG83" s="254"/>
      <c r="AVH83" s="254"/>
      <c r="AVI83" s="254"/>
      <c r="AVJ83" s="254"/>
      <c r="AVK83" s="254"/>
      <c r="AVL83" s="254"/>
      <c r="AVM83" s="254"/>
      <c r="AVN83" s="254"/>
      <c r="AVO83" s="254"/>
      <c r="AVP83" s="254"/>
      <c r="AVQ83" s="254"/>
      <c r="AVR83" s="254"/>
      <c r="AVS83" s="254"/>
      <c r="AVT83" s="254"/>
      <c r="AVU83" s="254"/>
      <c r="AVV83" s="254"/>
      <c r="AVW83" s="254"/>
      <c r="AVX83" s="254"/>
      <c r="AVY83" s="254"/>
      <c r="AVZ83" s="254"/>
      <c r="AWA83" s="254"/>
      <c r="AWB83" s="254"/>
      <c r="AWC83" s="254"/>
      <c r="AWD83" s="254"/>
      <c r="AWE83" s="254"/>
      <c r="AWF83" s="254"/>
      <c r="AWG83" s="254"/>
      <c r="AWH83" s="254"/>
      <c r="AWI83" s="254"/>
      <c r="AWJ83" s="254"/>
      <c r="AWK83" s="254"/>
      <c r="AWL83" s="254"/>
      <c r="AWM83" s="254"/>
      <c r="AWN83" s="254"/>
      <c r="AWO83" s="254"/>
      <c r="AWP83" s="254"/>
      <c r="AWQ83" s="254"/>
      <c r="AWR83" s="254"/>
      <c r="AWS83" s="254"/>
      <c r="AWT83" s="254"/>
      <c r="AWU83" s="254"/>
      <c r="AWV83" s="254"/>
      <c r="AWW83" s="254"/>
      <c r="AWX83" s="254"/>
      <c r="AWY83" s="254"/>
      <c r="AWZ83" s="254"/>
      <c r="AXA83" s="254"/>
      <c r="AXB83" s="254"/>
      <c r="AXC83" s="254"/>
      <c r="AXD83" s="254"/>
      <c r="AXE83" s="254"/>
      <c r="AXF83" s="254"/>
      <c r="AXG83" s="254"/>
      <c r="AXH83" s="254"/>
      <c r="AXI83" s="254"/>
      <c r="AXJ83" s="254"/>
      <c r="AXK83" s="254"/>
      <c r="AXL83" s="254"/>
      <c r="AXM83" s="254"/>
      <c r="AXN83" s="254"/>
      <c r="AXO83" s="254"/>
      <c r="AXP83" s="254"/>
      <c r="AXQ83" s="254"/>
      <c r="AXR83" s="254"/>
      <c r="AXS83" s="254"/>
      <c r="AXT83" s="254"/>
      <c r="AXU83" s="254"/>
      <c r="AXV83" s="254"/>
      <c r="AXW83" s="254"/>
      <c r="AXX83" s="254"/>
      <c r="AXY83" s="254"/>
      <c r="AXZ83" s="254"/>
      <c r="AYA83" s="254"/>
      <c r="AYB83" s="254"/>
      <c r="AYC83" s="254"/>
      <c r="AYD83" s="254"/>
      <c r="AYE83" s="254"/>
      <c r="AYF83" s="254"/>
      <c r="AYG83" s="254"/>
      <c r="AYH83" s="254"/>
      <c r="AYI83" s="254"/>
      <c r="AYJ83" s="254"/>
      <c r="AYK83" s="254"/>
      <c r="AYL83" s="254"/>
      <c r="AYM83" s="254"/>
      <c r="AYN83" s="254"/>
      <c r="AYO83" s="254"/>
      <c r="AYP83" s="254"/>
      <c r="AYQ83" s="254"/>
      <c r="AYR83" s="254"/>
      <c r="AYS83" s="254"/>
      <c r="AYT83" s="254"/>
      <c r="AYU83" s="254"/>
      <c r="AYV83" s="254"/>
      <c r="AYW83" s="254"/>
      <c r="AYX83" s="254"/>
      <c r="AYY83" s="254"/>
      <c r="AYZ83" s="254"/>
      <c r="AZA83" s="254"/>
      <c r="AZB83" s="254"/>
      <c r="AZC83" s="254"/>
      <c r="AZD83" s="254"/>
      <c r="AZE83" s="254"/>
      <c r="AZF83" s="254"/>
      <c r="AZG83" s="254"/>
      <c r="AZH83" s="254"/>
      <c r="AZI83" s="254"/>
      <c r="AZJ83" s="254"/>
      <c r="AZK83" s="254"/>
      <c r="AZL83" s="254"/>
      <c r="AZM83" s="254"/>
      <c r="AZN83" s="254"/>
      <c r="AZO83" s="254"/>
      <c r="AZP83" s="254"/>
      <c r="AZQ83" s="254"/>
      <c r="AZR83" s="254"/>
      <c r="AZS83" s="254"/>
      <c r="AZT83" s="254"/>
      <c r="AZU83" s="254"/>
      <c r="AZV83" s="254"/>
      <c r="AZW83" s="254"/>
      <c r="AZX83" s="254"/>
      <c r="AZY83" s="254"/>
      <c r="AZZ83" s="254"/>
      <c r="BAA83" s="254"/>
      <c r="BAB83" s="254"/>
      <c r="BAC83" s="254"/>
      <c r="BAD83" s="254"/>
      <c r="BAE83" s="254"/>
      <c r="BAF83" s="254"/>
      <c r="BAG83" s="254"/>
      <c r="BAH83" s="254"/>
      <c r="BAI83" s="254"/>
      <c r="BAJ83" s="254"/>
      <c r="BAK83" s="254"/>
      <c r="BAL83" s="254"/>
      <c r="BAM83" s="254"/>
      <c r="BAN83" s="254"/>
      <c r="BAO83" s="254"/>
      <c r="BAP83" s="254"/>
      <c r="BAQ83" s="254"/>
      <c r="BAR83" s="254"/>
      <c r="BAS83" s="254"/>
      <c r="BAT83" s="254"/>
      <c r="BAU83" s="254"/>
      <c r="BAV83" s="254"/>
      <c r="BAW83" s="254"/>
      <c r="BAX83" s="254"/>
      <c r="BAY83" s="254"/>
      <c r="BAZ83" s="254"/>
      <c r="BBA83" s="254"/>
      <c r="BBB83" s="254"/>
      <c r="BBC83" s="254"/>
      <c r="BBD83" s="254"/>
      <c r="BBE83" s="254"/>
      <c r="BBF83" s="254"/>
      <c r="BBG83" s="254"/>
      <c r="BBH83" s="254"/>
      <c r="BBI83" s="254"/>
      <c r="BBJ83" s="254"/>
      <c r="BBK83" s="254"/>
      <c r="BBL83" s="254"/>
      <c r="BBM83" s="254"/>
      <c r="BBN83" s="254"/>
      <c r="BBO83" s="254"/>
      <c r="BBP83" s="254"/>
      <c r="BBQ83" s="254"/>
      <c r="BBR83" s="254"/>
      <c r="BBS83" s="254"/>
      <c r="BBT83" s="254"/>
      <c r="BBU83" s="254"/>
      <c r="BBV83" s="254"/>
      <c r="BBW83" s="254"/>
      <c r="BBX83" s="254"/>
      <c r="BBY83" s="254"/>
      <c r="BBZ83" s="254"/>
      <c r="BCA83" s="254"/>
      <c r="BCB83" s="254"/>
      <c r="BCC83" s="254"/>
      <c r="BCD83" s="254"/>
      <c r="BCE83" s="254"/>
      <c r="BCF83" s="254"/>
      <c r="BCG83" s="254"/>
      <c r="BCH83" s="254"/>
      <c r="BCI83" s="254"/>
      <c r="BCJ83" s="254"/>
      <c r="BCK83" s="254"/>
      <c r="BCL83" s="254"/>
      <c r="BCM83" s="254"/>
      <c r="BCN83" s="254"/>
      <c r="BCO83" s="254"/>
      <c r="BCP83" s="254"/>
      <c r="BCQ83" s="254"/>
      <c r="BCR83" s="254"/>
      <c r="BCS83" s="254"/>
      <c r="BCT83" s="254"/>
      <c r="BCU83" s="254"/>
      <c r="BCV83" s="254"/>
      <c r="BCW83" s="254"/>
      <c r="BCX83" s="254"/>
      <c r="BCY83" s="254"/>
      <c r="BCZ83" s="254"/>
      <c r="BDA83" s="254"/>
      <c r="BDB83" s="254"/>
      <c r="BDC83" s="254"/>
      <c r="BDD83" s="254"/>
      <c r="BDE83" s="254"/>
      <c r="BDF83" s="254"/>
      <c r="BDG83" s="254"/>
      <c r="BDH83" s="254"/>
      <c r="BDI83" s="254"/>
      <c r="BDJ83" s="254"/>
      <c r="BDK83" s="254"/>
      <c r="BDL83" s="254"/>
      <c r="BDM83" s="254"/>
      <c r="BDN83" s="254"/>
      <c r="BDO83" s="254"/>
      <c r="BDP83" s="254"/>
      <c r="BDQ83" s="254"/>
      <c r="BDR83" s="254"/>
      <c r="BDS83" s="254"/>
      <c r="BDT83" s="254"/>
      <c r="BDU83" s="254"/>
      <c r="BDV83" s="254"/>
      <c r="BDW83" s="254"/>
      <c r="BDX83" s="254"/>
      <c r="BDY83" s="254"/>
      <c r="BDZ83" s="254"/>
      <c r="BEA83" s="254"/>
      <c r="BEB83" s="254"/>
      <c r="BEC83" s="254"/>
      <c r="BED83" s="254"/>
      <c r="BEE83" s="254"/>
      <c r="BEF83" s="254"/>
      <c r="BEG83" s="254"/>
      <c r="BEH83" s="254"/>
      <c r="BEI83" s="254"/>
      <c r="BEJ83" s="254"/>
      <c r="BEK83" s="254"/>
      <c r="BEL83" s="254"/>
      <c r="BEM83" s="254"/>
      <c r="BEN83" s="254"/>
      <c r="BEO83" s="254"/>
      <c r="BEP83" s="254"/>
      <c r="BEQ83" s="254"/>
      <c r="BER83" s="254"/>
      <c r="BES83" s="254"/>
      <c r="BET83" s="254"/>
      <c r="BEU83" s="254"/>
      <c r="BEV83" s="254"/>
      <c r="BEW83" s="254"/>
      <c r="BEX83" s="254"/>
      <c r="BEY83" s="254"/>
      <c r="BEZ83" s="254"/>
      <c r="BFA83" s="254"/>
      <c r="BFB83" s="254"/>
      <c r="BFC83" s="254"/>
      <c r="BFD83" s="254"/>
      <c r="BFE83" s="254"/>
      <c r="BFF83" s="254"/>
      <c r="BFG83" s="254"/>
      <c r="BFH83" s="254"/>
      <c r="BFI83" s="254"/>
      <c r="BFJ83" s="254"/>
      <c r="BFK83" s="254"/>
      <c r="BFL83" s="254"/>
      <c r="BFM83" s="254"/>
      <c r="BFN83" s="254"/>
      <c r="BFO83" s="254"/>
      <c r="BFP83" s="254"/>
      <c r="BFQ83" s="254"/>
      <c r="BFR83" s="254"/>
      <c r="BFS83" s="254"/>
      <c r="BFT83" s="254"/>
      <c r="BFU83" s="254"/>
      <c r="BFV83" s="254"/>
      <c r="BFW83" s="254"/>
    </row>
    <row r="84" spans="1:1531" s="22" customFormat="1" ht="46.15" customHeight="1" x14ac:dyDescent="0.2">
      <c r="A84" s="305" t="s">
        <v>528</v>
      </c>
      <c r="B84" s="159"/>
      <c r="C84" s="122" t="s">
        <v>558</v>
      </c>
      <c r="D84" s="159"/>
      <c r="E84" s="123" t="s">
        <v>623</v>
      </c>
      <c r="F84" s="122"/>
      <c r="G84" s="123" t="s">
        <v>536</v>
      </c>
      <c r="H84" s="122"/>
      <c r="I84" s="145">
        <v>85</v>
      </c>
      <c r="J84" s="159"/>
      <c r="K84" s="122" t="s">
        <v>117</v>
      </c>
      <c r="L84" s="159"/>
      <c r="M84" s="122" t="s">
        <v>557</v>
      </c>
      <c r="N84" s="159"/>
      <c r="O84" s="159">
        <v>2011</v>
      </c>
      <c r="P84" s="162" t="s">
        <v>750</v>
      </c>
      <c r="Q84" s="159">
        <v>0</v>
      </c>
      <c r="R84" s="159"/>
      <c r="S84" s="140">
        <v>0</v>
      </c>
      <c r="T84" s="159"/>
      <c r="U84" s="148">
        <v>14</v>
      </c>
      <c r="V84" s="159"/>
      <c r="W84" s="153">
        <f>14*85</f>
        <v>1190</v>
      </c>
      <c r="X84" s="159"/>
      <c r="Y84" s="214">
        <v>0</v>
      </c>
      <c r="Z84" s="159"/>
      <c r="AA84" s="140">
        <v>0</v>
      </c>
      <c r="AB84" s="159"/>
      <c r="AC84" s="148">
        <v>0</v>
      </c>
      <c r="AD84" s="159"/>
      <c r="AE84" s="153">
        <v>0</v>
      </c>
      <c r="AF84" s="148">
        <v>0</v>
      </c>
      <c r="AG84" s="159"/>
      <c r="AH84" s="153">
        <v>0</v>
      </c>
      <c r="AI84" s="148">
        <v>0</v>
      </c>
      <c r="AJ84" s="159"/>
      <c r="AK84" s="153"/>
      <c r="AL84" s="148"/>
      <c r="AM84" s="159"/>
      <c r="AN84" s="153"/>
      <c r="AU84" s="271" t="s">
        <v>797</v>
      </c>
    </row>
    <row r="85" spans="1:1531" s="165" customFormat="1" ht="46.15" customHeight="1" x14ac:dyDescent="0.2">
      <c r="A85" s="305" t="s">
        <v>528</v>
      </c>
      <c r="B85" s="159"/>
      <c r="C85" s="122" t="s">
        <v>558</v>
      </c>
      <c r="D85" s="159"/>
      <c r="E85" s="123" t="s">
        <v>624</v>
      </c>
      <c r="F85" s="122"/>
      <c r="G85" s="123" t="s">
        <v>536</v>
      </c>
      <c r="H85" s="122"/>
      <c r="I85" s="145">
        <v>85</v>
      </c>
      <c r="J85" s="159"/>
      <c r="K85" s="122" t="s">
        <v>117</v>
      </c>
      <c r="L85" s="159"/>
      <c r="M85" s="122" t="s">
        <v>557</v>
      </c>
      <c r="N85" s="159"/>
      <c r="O85" s="159">
        <v>2011</v>
      </c>
      <c r="P85" s="162" t="s">
        <v>750</v>
      </c>
      <c r="Q85" s="159">
        <v>0</v>
      </c>
      <c r="R85" s="159"/>
      <c r="S85" s="140">
        <v>0</v>
      </c>
      <c r="T85" s="159"/>
      <c r="U85" s="148">
        <v>13</v>
      </c>
      <c r="V85" s="159"/>
      <c r="W85" s="153">
        <f>13*85</f>
        <v>1105</v>
      </c>
      <c r="X85" s="159"/>
      <c r="Y85" s="214">
        <v>0</v>
      </c>
      <c r="Z85" s="159"/>
      <c r="AA85" s="140">
        <v>0</v>
      </c>
      <c r="AB85" s="159"/>
      <c r="AC85" s="148">
        <v>0</v>
      </c>
      <c r="AD85" s="159"/>
      <c r="AE85" s="153">
        <v>0</v>
      </c>
      <c r="AF85" s="148">
        <v>0</v>
      </c>
      <c r="AG85" s="159"/>
      <c r="AH85" s="153">
        <v>0</v>
      </c>
      <c r="AI85" s="148">
        <v>0</v>
      </c>
      <c r="AJ85" s="159"/>
      <c r="AK85" s="153"/>
      <c r="AL85" s="148"/>
      <c r="AM85" s="159"/>
      <c r="AN85" s="153"/>
      <c r="AO85" s="376"/>
      <c r="AP85" s="376"/>
      <c r="AQ85" s="376"/>
      <c r="AR85" s="376"/>
      <c r="AS85" s="376"/>
      <c r="AT85" s="376"/>
      <c r="AU85" s="375" t="s">
        <v>797</v>
      </c>
    </row>
    <row r="86" spans="1:1531" s="22" customFormat="1" ht="46.15" customHeight="1" x14ac:dyDescent="0.2">
      <c r="A86" s="305" t="s">
        <v>528</v>
      </c>
      <c r="B86" s="159"/>
      <c r="C86" s="122" t="s">
        <v>558</v>
      </c>
      <c r="D86" s="159"/>
      <c r="E86" s="123" t="s">
        <v>625</v>
      </c>
      <c r="F86" s="122"/>
      <c r="G86" s="123" t="s">
        <v>536</v>
      </c>
      <c r="H86" s="122"/>
      <c r="I86" s="145" t="s">
        <v>626</v>
      </c>
      <c r="J86" s="159"/>
      <c r="K86" s="122" t="s">
        <v>117</v>
      </c>
      <c r="L86" s="159"/>
      <c r="M86" s="122" t="s">
        <v>557</v>
      </c>
      <c r="N86" s="159"/>
      <c r="O86" s="159">
        <v>2011</v>
      </c>
      <c r="P86" s="162" t="s">
        <v>750</v>
      </c>
      <c r="Q86" s="159">
        <v>34</v>
      </c>
      <c r="R86" s="159"/>
      <c r="S86" s="140">
        <f>34*95</f>
        <v>3230</v>
      </c>
      <c r="T86" s="159"/>
      <c r="U86" s="149">
        <v>16</v>
      </c>
      <c r="V86" s="159"/>
      <c r="W86" s="153">
        <f>(1*25)+(1*70)+(14*95)</f>
        <v>1425</v>
      </c>
      <c r="X86" s="159"/>
      <c r="Y86" s="214">
        <v>0</v>
      </c>
      <c r="Z86" s="159"/>
      <c r="AA86" s="140">
        <v>0</v>
      </c>
      <c r="AB86" s="159"/>
      <c r="AC86" s="149">
        <v>0</v>
      </c>
      <c r="AD86" s="159"/>
      <c r="AE86" s="153">
        <v>0</v>
      </c>
      <c r="AF86" s="149">
        <v>0</v>
      </c>
      <c r="AG86" s="159"/>
      <c r="AH86" s="153">
        <v>0</v>
      </c>
      <c r="AI86" s="149">
        <v>0</v>
      </c>
      <c r="AJ86" s="159"/>
      <c r="AK86" s="153"/>
      <c r="AL86" s="149"/>
      <c r="AM86" s="159"/>
      <c r="AN86" s="153"/>
      <c r="AU86" s="271" t="s">
        <v>797</v>
      </c>
    </row>
    <row r="87" spans="1:1531" s="22" customFormat="1" ht="46.15" customHeight="1" x14ac:dyDescent="0.2">
      <c r="A87" s="305" t="s">
        <v>528</v>
      </c>
      <c r="B87" s="159"/>
      <c r="C87" s="122" t="s">
        <v>558</v>
      </c>
      <c r="D87" s="159"/>
      <c r="E87" s="123" t="s">
        <v>552</v>
      </c>
      <c r="F87" s="122"/>
      <c r="G87" s="123" t="s">
        <v>536</v>
      </c>
      <c r="H87" s="122"/>
      <c r="I87" s="145">
        <v>85</v>
      </c>
      <c r="J87" s="159"/>
      <c r="K87" s="122" t="s">
        <v>117</v>
      </c>
      <c r="L87" s="159"/>
      <c r="M87" s="122" t="s">
        <v>557</v>
      </c>
      <c r="N87" s="159"/>
      <c r="O87" s="159">
        <v>2011</v>
      </c>
      <c r="P87" s="162" t="s">
        <v>750</v>
      </c>
      <c r="Q87" s="159">
        <v>0</v>
      </c>
      <c r="R87" s="159"/>
      <c r="S87" s="140">
        <v>0</v>
      </c>
      <c r="T87" s="159"/>
      <c r="U87" s="148">
        <v>13</v>
      </c>
      <c r="V87" s="159"/>
      <c r="W87" s="153">
        <f>13*85</f>
        <v>1105</v>
      </c>
      <c r="X87" s="159"/>
      <c r="Y87" s="214">
        <v>0</v>
      </c>
      <c r="Z87" s="159"/>
      <c r="AA87" s="140">
        <v>0</v>
      </c>
      <c r="AB87" s="159"/>
      <c r="AC87" s="148">
        <v>0</v>
      </c>
      <c r="AD87" s="159"/>
      <c r="AE87" s="153">
        <v>0</v>
      </c>
      <c r="AF87" s="148">
        <v>0</v>
      </c>
      <c r="AG87" s="159"/>
      <c r="AH87" s="153">
        <v>0</v>
      </c>
      <c r="AI87" s="148">
        <v>0</v>
      </c>
      <c r="AJ87" s="159"/>
      <c r="AK87" s="153"/>
      <c r="AL87" s="148"/>
      <c r="AM87" s="159"/>
      <c r="AN87" s="153"/>
      <c r="AO87" s="295"/>
      <c r="AP87" s="295"/>
      <c r="AQ87" s="295"/>
      <c r="AR87" s="295"/>
      <c r="AS87" s="295"/>
      <c r="AT87" s="295"/>
      <c r="AU87" s="375" t="s">
        <v>797</v>
      </c>
    </row>
    <row r="88" spans="1:1531" s="22" customFormat="1" ht="46.15" customHeight="1" x14ac:dyDescent="0.2">
      <c r="A88" s="305" t="s">
        <v>847</v>
      </c>
      <c r="B88" s="258"/>
      <c r="C88" s="122" t="s">
        <v>558</v>
      </c>
      <c r="D88" s="142"/>
      <c r="E88" s="123" t="s">
        <v>833</v>
      </c>
      <c r="F88" s="143"/>
      <c r="G88" s="123" t="s">
        <v>536</v>
      </c>
      <c r="H88" s="143"/>
      <c r="I88" s="145">
        <v>300</v>
      </c>
      <c r="J88" s="142"/>
      <c r="K88" s="122" t="s">
        <v>117</v>
      </c>
      <c r="L88" s="142"/>
      <c r="M88" s="142"/>
      <c r="N88" s="142"/>
      <c r="O88" s="159">
        <v>2016</v>
      </c>
      <c r="P88" s="162" t="s">
        <v>750</v>
      </c>
      <c r="Q88" s="142">
        <f>SUM(Q2:Q87)</f>
        <v>2605</v>
      </c>
      <c r="R88" s="142"/>
      <c r="S88" s="220">
        <f>SUM(S2:S87)</f>
        <v>1172700</v>
      </c>
      <c r="T88" s="142"/>
      <c r="U88" s="142">
        <f>SUM(U2:U87)</f>
        <v>2553</v>
      </c>
      <c r="V88" s="142"/>
      <c r="W88" s="220">
        <f>SUM(W2:W87)</f>
        <v>1163745</v>
      </c>
      <c r="X88" s="142"/>
      <c r="Y88" s="142"/>
      <c r="Z88" s="142"/>
      <c r="AA88" s="220"/>
      <c r="AB88" s="142"/>
      <c r="AC88" s="142"/>
      <c r="AD88" s="142"/>
      <c r="AE88" s="220"/>
      <c r="AF88" s="142"/>
      <c r="AG88" s="142"/>
      <c r="AH88" s="220"/>
      <c r="AI88" s="142"/>
      <c r="AJ88" s="142"/>
      <c r="AK88" s="220"/>
      <c r="AL88" s="176">
        <v>1</v>
      </c>
      <c r="AM88" s="176"/>
      <c r="AN88" s="284">
        <v>300</v>
      </c>
      <c r="AU88" s="271" t="s">
        <v>797</v>
      </c>
    </row>
    <row r="89" spans="1:1531" s="208" customFormat="1" ht="46.15" customHeight="1" x14ac:dyDescent="0.2">
      <c r="A89" s="305" t="s">
        <v>847</v>
      </c>
      <c r="B89" s="286"/>
      <c r="C89" s="122" t="s">
        <v>846</v>
      </c>
      <c r="D89" s="286"/>
      <c r="E89" s="286" t="s">
        <v>848</v>
      </c>
      <c r="F89" s="286"/>
      <c r="G89" s="286" t="s">
        <v>849</v>
      </c>
      <c r="H89" s="174"/>
      <c r="I89" s="281">
        <v>250</v>
      </c>
      <c r="J89" s="176"/>
      <c r="K89" s="122" t="s">
        <v>117</v>
      </c>
      <c r="L89" s="176"/>
      <c r="M89" s="176"/>
      <c r="N89" s="176"/>
      <c r="O89" s="176">
        <v>2016</v>
      </c>
      <c r="P89" s="162" t="s">
        <v>750</v>
      </c>
      <c r="Q89" s="176"/>
      <c r="R89" s="176"/>
      <c r="S89" s="282"/>
      <c r="T89" s="176"/>
      <c r="U89" s="176"/>
      <c r="V89" s="176"/>
      <c r="W89" s="176"/>
      <c r="X89" s="176"/>
      <c r="Y89" s="283"/>
      <c r="Z89" s="176"/>
      <c r="AA89" s="282"/>
      <c r="AB89" s="176"/>
      <c r="AC89" s="176"/>
      <c r="AD89" s="176"/>
      <c r="AE89" s="176"/>
      <c r="AF89" s="176"/>
      <c r="AG89" s="176"/>
      <c r="AH89" s="176"/>
      <c r="AI89" s="176"/>
      <c r="AJ89" s="176"/>
      <c r="AK89" s="176"/>
      <c r="AL89" s="176">
        <v>3</v>
      </c>
      <c r="AM89" s="176"/>
      <c r="AN89" s="284">
        <v>750</v>
      </c>
      <c r="AO89" s="295"/>
      <c r="AP89" s="295"/>
      <c r="AQ89" s="295"/>
      <c r="AR89" s="295"/>
      <c r="AS89" s="295"/>
      <c r="AT89" s="295"/>
      <c r="AU89" s="375" t="s">
        <v>797</v>
      </c>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c r="IW89" s="22"/>
      <c r="IX89" s="22"/>
      <c r="IY89" s="22"/>
      <c r="IZ89" s="22"/>
      <c r="JA89" s="22"/>
      <c r="JB89" s="22"/>
      <c r="JC89" s="22"/>
      <c r="JD89" s="22"/>
      <c r="JE89" s="22"/>
      <c r="JF89" s="22"/>
      <c r="JG89" s="22"/>
      <c r="JH89" s="22"/>
      <c r="JI89" s="22"/>
      <c r="JJ89" s="22"/>
      <c r="JK89" s="22"/>
      <c r="JL89" s="22"/>
      <c r="JM89" s="22"/>
      <c r="JN89" s="22"/>
      <c r="JO89" s="22"/>
      <c r="JP89" s="22"/>
      <c r="JQ89" s="22"/>
      <c r="JR89" s="22"/>
      <c r="JS89" s="22"/>
      <c r="JT89" s="22"/>
      <c r="JU89" s="22"/>
      <c r="JV89" s="22"/>
      <c r="JW89" s="22"/>
      <c r="JX89" s="22"/>
      <c r="JY89" s="22"/>
      <c r="JZ89" s="22"/>
      <c r="KA89" s="22"/>
      <c r="KB89" s="22"/>
      <c r="KC89" s="22"/>
      <c r="KD89" s="22"/>
      <c r="KE89" s="22"/>
      <c r="KF89" s="22"/>
      <c r="KG89" s="22"/>
      <c r="KH89" s="22"/>
      <c r="KI89" s="22"/>
      <c r="KJ89" s="22"/>
      <c r="KK89" s="22"/>
      <c r="KL89" s="22"/>
      <c r="KM89" s="22"/>
      <c r="KN89" s="22"/>
      <c r="KO89" s="22"/>
      <c r="KP89" s="22"/>
      <c r="KQ89" s="22"/>
      <c r="KR89" s="22"/>
      <c r="KS89" s="22"/>
      <c r="KT89" s="22"/>
      <c r="KU89" s="22"/>
      <c r="KV89" s="22"/>
      <c r="KW89" s="22"/>
      <c r="KX89" s="22"/>
      <c r="KY89" s="22"/>
      <c r="KZ89" s="22"/>
      <c r="LA89" s="22"/>
      <c r="LB89" s="22"/>
      <c r="LC89" s="22"/>
      <c r="LD89" s="22"/>
      <c r="LE89" s="22"/>
      <c r="LF89" s="22"/>
      <c r="LG89" s="22"/>
      <c r="LH89" s="22"/>
      <c r="LI89" s="22"/>
      <c r="LJ89" s="22"/>
      <c r="LK89" s="22"/>
      <c r="LL89" s="22"/>
      <c r="LM89" s="22"/>
      <c r="LN89" s="22"/>
      <c r="LO89" s="22"/>
      <c r="LP89" s="22"/>
      <c r="LQ89" s="22"/>
      <c r="LR89" s="22"/>
      <c r="LS89" s="22"/>
      <c r="LT89" s="22"/>
      <c r="LU89" s="22"/>
      <c r="LV89" s="22"/>
      <c r="LW89" s="22"/>
      <c r="LX89" s="22"/>
      <c r="LY89" s="22"/>
      <c r="LZ89" s="22"/>
      <c r="MA89" s="22"/>
      <c r="MB89" s="22"/>
      <c r="MC89" s="22"/>
      <c r="MD89" s="22"/>
      <c r="ME89" s="22"/>
      <c r="MF89" s="22"/>
      <c r="MG89" s="22"/>
      <c r="MH89" s="22"/>
      <c r="MI89" s="22"/>
      <c r="MJ89" s="22"/>
      <c r="MK89" s="22"/>
      <c r="ML89" s="22"/>
      <c r="MM89" s="22"/>
      <c r="MN89" s="22"/>
      <c r="MO89" s="22"/>
      <c r="MP89" s="22"/>
      <c r="MQ89" s="22"/>
      <c r="MR89" s="22"/>
      <c r="MS89" s="22"/>
      <c r="MT89" s="22"/>
      <c r="MU89" s="22"/>
      <c r="MV89" s="22"/>
      <c r="MW89" s="22"/>
      <c r="MX89" s="22"/>
      <c r="MY89" s="22"/>
      <c r="MZ89" s="22"/>
      <c r="NA89" s="22"/>
      <c r="NB89" s="22"/>
      <c r="NC89" s="22"/>
      <c r="ND89" s="22"/>
      <c r="NE89" s="22"/>
      <c r="NF89" s="22"/>
      <c r="NG89" s="22"/>
      <c r="NH89" s="22"/>
      <c r="NI89" s="22"/>
      <c r="NJ89" s="22"/>
      <c r="NK89" s="22"/>
      <c r="NL89" s="22"/>
      <c r="NM89" s="22"/>
      <c r="NN89" s="22"/>
      <c r="NO89" s="22"/>
      <c r="NP89" s="22"/>
      <c r="NQ89" s="22"/>
      <c r="NR89" s="22"/>
      <c r="NS89" s="22"/>
      <c r="NT89" s="22"/>
      <c r="NU89" s="22"/>
      <c r="NV89" s="22"/>
      <c r="NW89" s="22"/>
      <c r="NX89" s="22"/>
      <c r="NY89" s="22"/>
      <c r="NZ89" s="22"/>
      <c r="OA89" s="22"/>
      <c r="OB89" s="22"/>
      <c r="OC89" s="22"/>
      <c r="OD89" s="22"/>
      <c r="OE89" s="22"/>
      <c r="OF89" s="22"/>
      <c r="OG89" s="22"/>
      <c r="OH89" s="22"/>
      <c r="OI89" s="22"/>
      <c r="OJ89" s="22"/>
      <c r="OK89" s="22"/>
      <c r="OL89" s="22"/>
      <c r="OM89" s="22"/>
      <c r="ON89" s="22"/>
      <c r="OO89" s="22"/>
      <c r="OP89" s="22"/>
      <c r="OQ89" s="22"/>
      <c r="OR89" s="22"/>
      <c r="OS89" s="22"/>
      <c r="OT89" s="22"/>
      <c r="OU89" s="22"/>
      <c r="OV89" s="22"/>
      <c r="OW89" s="22"/>
      <c r="OX89" s="22"/>
      <c r="OY89" s="22"/>
      <c r="OZ89" s="22"/>
      <c r="PA89" s="22"/>
      <c r="PB89" s="22"/>
      <c r="PC89" s="22"/>
      <c r="PD89" s="22"/>
      <c r="PE89" s="22"/>
      <c r="PF89" s="22"/>
      <c r="PG89" s="22"/>
      <c r="PH89" s="22"/>
      <c r="PI89" s="22"/>
      <c r="PJ89" s="22"/>
      <c r="PK89" s="22"/>
      <c r="PL89" s="22"/>
      <c r="PM89" s="22"/>
      <c r="PN89" s="22"/>
      <c r="PO89" s="22"/>
      <c r="PP89" s="22"/>
      <c r="PQ89" s="22"/>
      <c r="PR89" s="22"/>
      <c r="PS89" s="22"/>
      <c r="PT89" s="22"/>
      <c r="PU89" s="22"/>
      <c r="PV89" s="22"/>
      <c r="PW89" s="22"/>
      <c r="PX89" s="22"/>
      <c r="PY89" s="22"/>
      <c r="PZ89" s="22"/>
      <c r="QA89" s="22"/>
      <c r="QB89" s="22"/>
      <c r="QC89" s="22"/>
      <c r="QD89" s="22"/>
      <c r="QE89" s="22"/>
      <c r="QF89" s="22"/>
      <c r="QG89" s="22"/>
      <c r="QH89" s="22"/>
      <c r="QI89" s="22"/>
      <c r="QJ89" s="22"/>
      <c r="QK89" s="22"/>
      <c r="QL89" s="22"/>
      <c r="QM89" s="22"/>
      <c r="QN89" s="22"/>
      <c r="QO89" s="22"/>
      <c r="QP89" s="22"/>
      <c r="QQ89" s="22"/>
      <c r="QR89" s="22"/>
      <c r="QS89" s="22"/>
      <c r="QT89" s="22"/>
      <c r="QU89" s="22"/>
      <c r="QV89" s="22"/>
      <c r="QW89" s="22"/>
      <c r="QX89" s="22"/>
      <c r="QY89" s="22"/>
      <c r="QZ89" s="22"/>
      <c r="RA89" s="22"/>
      <c r="RB89" s="22"/>
      <c r="RC89" s="22"/>
      <c r="RD89" s="22"/>
      <c r="RE89" s="22"/>
      <c r="RF89" s="22"/>
      <c r="RG89" s="22"/>
      <c r="RH89" s="22"/>
      <c r="RI89" s="22"/>
      <c r="RJ89" s="22"/>
      <c r="RK89" s="22"/>
      <c r="RL89" s="22"/>
      <c r="RM89" s="22"/>
      <c r="RN89" s="22"/>
      <c r="RO89" s="22"/>
      <c r="RP89" s="22"/>
      <c r="RQ89" s="22"/>
      <c r="RR89" s="22"/>
      <c r="RS89" s="22"/>
      <c r="RT89" s="22"/>
      <c r="RU89" s="22"/>
      <c r="RV89" s="22"/>
      <c r="RW89" s="22"/>
      <c r="RX89" s="22"/>
      <c r="RY89" s="22"/>
      <c r="RZ89" s="22"/>
      <c r="SA89" s="22"/>
      <c r="SB89" s="22"/>
      <c r="SC89" s="22"/>
      <c r="SD89" s="22"/>
      <c r="SE89" s="22"/>
      <c r="SF89" s="22"/>
      <c r="SG89" s="22"/>
      <c r="SH89" s="22"/>
      <c r="SI89" s="22"/>
      <c r="SJ89" s="22"/>
      <c r="SK89" s="22"/>
      <c r="SL89" s="22"/>
      <c r="SM89" s="22"/>
      <c r="SN89" s="22"/>
      <c r="SO89" s="22"/>
      <c r="SP89" s="22"/>
      <c r="SQ89" s="22"/>
      <c r="SR89" s="22"/>
      <c r="SS89" s="22"/>
      <c r="ST89" s="22"/>
      <c r="SU89" s="22"/>
      <c r="SV89" s="22"/>
      <c r="SW89" s="22"/>
      <c r="SX89" s="22"/>
      <c r="SY89" s="22"/>
      <c r="SZ89" s="22"/>
      <c r="TA89" s="22"/>
      <c r="TB89" s="22"/>
      <c r="TC89" s="22"/>
      <c r="TD89" s="22"/>
      <c r="TE89" s="22"/>
      <c r="TF89" s="22"/>
      <c r="TG89" s="22"/>
      <c r="TH89" s="22"/>
      <c r="TI89" s="22"/>
      <c r="TJ89" s="22"/>
      <c r="TK89" s="22"/>
      <c r="TL89" s="22"/>
      <c r="TM89" s="22"/>
      <c r="TN89" s="22"/>
      <c r="TO89" s="22"/>
      <c r="TP89" s="22"/>
      <c r="TQ89" s="22"/>
      <c r="TR89" s="22"/>
      <c r="TS89" s="22"/>
      <c r="TT89" s="22"/>
      <c r="TU89" s="22"/>
      <c r="TV89" s="22"/>
      <c r="TW89" s="22"/>
      <c r="TX89" s="22"/>
      <c r="TY89" s="22"/>
      <c r="TZ89" s="22"/>
      <c r="UA89" s="22"/>
      <c r="UB89" s="22"/>
      <c r="UC89" s="22"/>
      <c r="UD89" s="22"/>
      <c r="UE89" s="22"/>
      <c r="UF89" s="22"/>
      <c r="UG89" s="22"/>
      <c r="UH89" s="22"/>
      <c r="UI89" s="22"/>
      <c r="UJ89" s="22"/>
      <c r="UK89" s="22"/>
      <c r="UL89" s="22"/>
      <c r="UM89" s="22"/>
      <c r="UN89" s="22"/>
      <c r="UO89" s="22"/>
      <c r="UP89" s="22"/>
      <c r="UQ89" s="22"/>
      <c r="UR89" s="22"/>
      <c r="US89" s="22"/>
      <c r="UT89" s="22"/>
      <c r="UU89" s="22"/>
      <c r="UV89" s="22"/>
      <c r="UW89" s="22"/>
      <c r="UX89" s="22"/>
      <c r="UY89" s="22"/>
      <c r="UZ89" s="22"/>
      <c r="VA89" s="22"/>
      <c r="VB89" s="22"/>
      <c r="VC89" s="22"/>
      <c r="VD89" s="22"/>
      <c r="VE89" s="22"/>
      <c r="VF89" s="22"/>
      <c r="VG89" s="22"/>
      <c r="VH89" s="22"/>
      <c r="VI89" s="22"/>
      <c r="VJ89" s="22"/>
      <c r="VK89" s="22"/>
      <c r="VL89" s="22"/>
      <c r="VM89" s="22"/>
      <c r="VN89" s="22"/>
      <c r="VO89" s="22"/>
      <c r="VP89" s="22"/>
      <c r="VQ89" s="22"/>
      <c r="VR89" s="22"/>
      <c r="VS89" s="22"/>
      <c r="VT89" s="22"/>
      <c r="VU89" s="22"/>
      <c r="VV89" s="22"/>
      <c r="VW89" s="22"/>
      <c r="VX89" s="22"/>
      <c r="VY89" s="22"/>
      <c r="VZ89" s="22"/>
      <c r="WA89" s="22"/>
      <c r="WB89" s="22"/>
      <c r="WC89" s="22"/>
      <c r="WD89" s="22"/>
      <c r="WE89" s="22"/>
      <c r="WF89" s="22"/>
      <c r="WG89" s="22"/>
      <c r="WH89" s="22"/>
      <c r="WI89" s="22"/>
      <c r="WJ89" s="22"/>
      <c r="WK89" s="22"/>
      <c r="WL89" s="22"/>
      <c r="WM89" s="22"/>
      <c r="WN89" s="22"/>
      <c r="WO89" s="22"/>
      <c r="WP89" s="22"/>
      <c r="WQ89" s="22"/>
      <c r="WR89" s="22"/>
      <c r="WS89" s="22"/>
      <c r="WT89" s="22"/>
      <c r="WU89" s="22"/>
      <c r="WV89" s="22"/>
      <c r="WW89" s="22"/>
      <c r="WX89" s="22"/>
      <c r="WY89" s="22"/>
      <c r="WZ89" s="22"/>
      <c r="XA89" s="22"/>
      <c r="XB89" s="22"/>
      <c r="XC89" s="22"/>
      <c r="XD89" s="22"/>
      <c r="XE89" s="22"/>
      <c r="XF89" s="22"/>
      <c r="XG89" s="22"/>
      <c r="XH89" s="22"/>
      <c r="XI89" s="22"/>
      <c r="XJ89" s="22"/>
      <c r="XK89" s="22"/>
      <c r="XL89" s="22"/>
      <c r="XM89" s="22"/>
      <c r="XN89" s="22"/>
      <c r="XO89" s="22"/>
      <c r="XP89" s="22"/>
      <c r="XQ89" s="22"/>
      <c r="XR89" s="22"/>
      <c r="XS89" s="22"/>
      <c r="XT89" s="22"/>
      <c r="XU89" s="22"/>
      <c r="XV89" s="22"/>
      <c r="XW89" s="22"/>
      <c r="XX89" s="22"/>
      <c r="XY89" s="22"/>
      <c r="XZ89" s="22"/>
      <c r="YA89" s="22"/>
      <c r="YB89" s="22"/>
      <c r="YC89" s="22"/>
      <c r="YD89" s="22"/>
      <c r="YE89" s="22"/>
      <c r="YF89" s="22"/>
      <c r="YG89" s="22"/>
      <c r="YH89" s="22"/>
      <c r="YI89" s="22"/>
      <c r="YJ89" s="22"/>
      <c r="YK89" s="22"/>
      <c r="YL89" s="22"/>
      <c r="YM89" s="22"/>
      <c r="YN89" s="22"/>
      <c r="YO89" s="22"/>
      <c r="YP89" s="22"/>
      <c r="YQ89" s="22"/>
      <c r="YR89" s="22"/>
      <c r="YS89" s="22"/>
      <c r="YT89" s="22"/>
      <c r="YU89" s="22"/>
      <c r="YV89" s="22"/>
      <c r="YW89" s="22"/>
      <c r="YX89" s="22"/>
      <c r="YY89" s="22"/>
      <c r="YZ89" s="22"/>
      <c r="ZA89" s="22"/>
      <c r="ZB89" s="22"/>
      <c r="ZC89" s="22"/>
      <c r="ZD89" s="22"/>
      <c r="ZE89" s="22"/>
      <c r="ZF89" s="22"/>
      <c r="ZG89" s="22"/>
      <c r="ZH89" s="22"/>
      <c r="ZI89" s="22"/>
      <c r="ZJ89" s="22"/>
      <c r="ZK89" s="22"/>
      <c r="ZL89" s="22"/>
      <c r="ZM89" s="22"/>
      <c r="ZN89" s="22"/>
      <c r="ZO89" s="22"/>
      <c r="ZP89" s="22"/>
      <c r="ZQ89" s="22"/>
      <c r="ZR89" s="22"/>
      <c r="ZS89" s="22"/>
      <c r="ZT89" s="22"/>
      <c r="ZU89" s="22"/>
      <c r="ZV89" s="22"/>
      <c r="ZW89" s="22"/>
      <c r="ZX89" s="22"/>
      <c r="ZY89" s="22"/>
      <c r="ZZ89" s="22"/>
      <c r="AAA89" s="22"/>
      <c r="AAB89" s="22"/>
      <c r="AAC89" s="22"/>
      <c r="AAD89" s="22"/>
      <c r="AAE89" s="22"/>
      <c r="AAF89" s="22"/>
      <c r="AAG89" s="22"/>
      <c r="AAH89" s="22"/>
      <c r="AAI89" s="22"/>
      <c r="AAJ89" s="22"/>
      <c r="AAK89" s="22"/>
      <c r="AAL89" s="22"/>
      <c r="AAM89" s="22"/>
      <c r="AAN89" s="22"/>
      <c r="AAO89" s="22"/>
      <c r="AAP89" s="22"/>
      <c r="AAQ89" s="22"/>
      <c r="AAR89" s="22"/>
      <c r="AAS89" s="22"/>
      <c r="AAT89" s="22"/>
      <c r="AAU89" s="22"/>
      <c r="AAV89" s="22"/>
      <c r="AAW89" s="22"/>
      <c r="AAX89" s="22"/>
      <c r="AAY89" s="22"/>
      <c r="AAZ89" s="22"/>
      <c r="ABA89" s="22"/>
      <c r="ABB89" s="22"/>
      <c r="ABC89" s="22"/>
      <c r="ABD89" s="22"/>
      <c r="ABE89" s="22"/>
      <c r="ABF89" s="22"/>
      <c r="ABG89" s="22"/>
      <c r="ABH89" s="22"/>
      <c r="ABI89" s="22"/>
      <c r="ABJ89" s="22"/>
      <c r="ABK89" s="22"/>
      <c r="ABL89" s="22"/>
      <c r="ABM89" s="22"/>
      <c r="ABN89" s="22"/>
      <c r="ABO89" s="22"/>
      <c r="ABP89" s="22"/>
      <c r="ABQ89" s="22"/>
      <c r="ABR89" s="22"/>
      <c r="ABS89" s="22"/>
      <c r="ABT89" s="22"/>
      <c r="ABU89" s="22"/>
      <c r="ABV89" s="22"/>
      <c r="ABW89" s="22"/>
      <c r="ABX89" s="22"/>
      <c r="ABY89" s="22"/>
      <c r="ABZ89" s="22"/>
      <c r="ACA89" s="22"/>
      <c r="ACB89" s="22"/>
      <c r="ACC89" s="22"/>
      <c r="ACD89" s="22"/>
      <c r="ACE89" s="22"/>
      <c r="ACF89" s="22"/>
      <c r="ACG89" s="22"/>
      <c r="ACH89" s="22"/>
      <c r="ACI89" s="22"/>
      <c r="ACJ89" s="22"/>
      <c r="ACK89" s="22"/>
      <c r="ACL89" s="22"/>
      <c r="ACM89" s="22"/>
      <c r="ACN89" s="22"/>
      <c r="ACO89" s="22"/>
      <c r="ACP89" s="22"/>
      <c r="ACQ89" s="22"/>
      <c r="ACR89" s="22"/>
      <c r="ACS89" s="22"/>
      <c r="ACT89" s="22"/>
      <c r="ACU89" s="22"/>
      <c r="ACV89" s="22"/>
      <c r="ACW89" s="22"/>
      <c r="ACX89" s="22"/>
      <c r="ACY89" s="22"/>
      <c r="ACZ89" s="22"/>
      <c r="ADA89" s="22"/>
      <c r="ADB89" s="22"/>
      <c r="ADC89" s="22"/>
      <c r="ADD89" s="22"/>
      <c r="ADE89" s="22"/>
      <c r="ADF89" s="22"/>
      <c r="ADG89" s="22"/>
      <c r="ADH89" s="22"/>
      <c r="ADI89" s="22"/>
      <c r="ADJ89" s="22"/>
      <c r="ADK89" s="22"/>
      <c r="ADL89" s="22"/>
      <c r="ADM89" s="22"/>
      <c r="ADN89" s="22"/>
      <c r="ADO89" s="22"/>
      <c r="ADP89" s="22"/>
      <c r="ADQ89" s="22"/>
      <c r="ADR89" s="22"/>
      <c r="ADS89" s="22"/>
      <c r="ADT89" s="22"/>
      <c r="ADU89" s="22"/>
      <c r="ADV89" s="22"/>
      <c r="ADW89" s="22"/>
      <c r="ADX89" s="22"/>
      <c r="ADY89" s="22"/>
      <c r="ADZ89" s="22"/>
      <c r="AEA89" s="22"/>
      <c r="AEB89" s="22"/>
      <c r="AEC89" s="22"/>
      <c r="AED89" s="22"/>
      <c r="AEE89" s="22"/>
      <c r="AEF89" s="22"/>
      <c r="AEG89" s="22"/>
      <c r="AEH89" s="22"/>
      <c r="AEI89" s="22"/>
      <c r="AEJ89" s="22"/>
      <c r="AEK89" s="22"/>
      <c r="AEL89" s="22"/>
      <c r="AEM89" s="22"/>
      <c r="AEN89" s="22"/>
      <c r="AEO89" s="22"/>
      <c r="AEP89" s="22"/>
      <c r="AEQ89" s="22"/>
      <c r="AER89" s="22"/>
      <c r="AES89" s="22"/>
      <c r="AET89" s="22"/>
      <c r="AEU89" s="22"/>
      <c r="AEV89" s="22"/>
      <c r="AEW89" s="22"/>
      <c r="AEX89" s="22"/>
      <c r="AEY89" s="22"/>
      <c r="AEZ89" s="22"/>
      <c r="AFA89" s="22"/>
      <c r="AFB89" s="22"/>
      <c r="AFC89" s="22"/>
      <c r="AFD89" s="22"/>
      <c r="AFE89" s="22"/>
      <c r="AFF89" s="22"/>
      <c r="AFG89" s="22"/>
      <c r="AFH89" s="22"/>
      <c r="AFI89" s="22"/>
      <c r="AFJ89" s="22"/>
      <c r="AFK89" s="22"/>
      <c r="AFL89" s="22"/>
      <c r="AFM89" s="22"/>
      <c r="AFN89" s="22"/>
      <c r="AFO89" s="22"/>
      <c r="AFP89" s="22"/>
      <c r="AFQ89" s="22"/>
      <c r="AFR89" s="22"/>
      <c r="AFS89" s="22"/>
      <c r="AFT89" s="22"/>
      <c r="AFU89" s="22"/>
      <c r="AFV89" s="22"/>
      <c r="AFW89" s="22"/>
      <c r="AFX89" s="22"/>
      <c r="AFY89" s="22"/>
      <c r="AFZ89" s="22"/>
      <c r="AGA89" s="22"/>
      <c r="AGB89" s="22"/>
      <c r="AGC89" s="22"/>
      <c r="AGD89" s="22"/>
      <c r="AGE89" s="22"/>
      <c r="AGF89" s="22"/>
      <c r="AGG89" s="22"/>
      <c r="AGH89" s="22"/>
      <c r="AGI89" s="22"/>
      <c r="AGJ89" s="22"/>
      <c r="AGK89" s="22"/>
      <c r="AGL89" s="22"/>
      <c r="AGM89" s="22"/>
      <c r="AGN89" s="22"/>
      <c r="AGO89" s="22"/>
      <c r="AGP89" s="22"/>
      <c r="AGQ89" s="22"/>
      <c r="AGR89" s="22"/>
      <c r="AGS89" s="22"/>
      <c r="AGT89" s="22"/>
      <c r="AGU89" s="22"/>
      <c r="AGV89" s="22"/>
      <c r="AGW89" s="22"/>
      <c r="AGX89" s="22"/>
      <c r="AGY89" s="22"/>
      <c r="AGZ89" s="22"/>
      <c r="AHA89" s="22"/>
      <c r="AHB89" s="22"/>
      <c r="AHC89" s="22"/>
      <c r="AHD89" s="22"/>
      <c r="AHE89" s="22"/>
      <c r="AHF89" s="22"/>
      <c r="AHG89" s="22"/>
      <c r="AHH89" s="22"/>
      <c r="AHI89" s="22"/>
      <c r="AHJ89" s="22"/>
      <c r="AHK89" s="22"/>
      <c r="AHL89" s="22"/>
      <c r="AHM89" s="22"/>
      <c r="AHN89" s="22"/>
      <c r="AHO89" s="22"/>
      <c r="AHP89" s="22"/>
      <c r="AHQ89" s="22"/>
      <c r="AHR89" s="22"/>
      <c r="AHS89" s="22"/>
      <c r="AHT89" s="22"/>
      <c r="AHU89" s="22"/>
      <c r="AHV89" s="22"/>
      <c r="AHW89" s="22"/>
      <c r="AHX89" s="22"/>
      <c r="AHY89" s="22"/>
      <c r="AHZ89" s="22"/>
      <c r="AIA89" s="22"/>
      <c r="AIB89" s="22"/>
      <c r="AIC89" s="22"/>
      <c r="AID89" s="22"/>
      <c r="AIE89" s="22"/>
      <c r="AIF89" s="22"/>
      <c r="AIG89" s="22"/>
      <c r="AIH89" s="22"/>
      <c r="AII89" s="22"/>
      <c r="AIJ89" s="22"/>
      <c r="AIK89" s="22"/>
      <c r="AIL89" s="22"/>
      <c r="AIM89" s="22"/>
      <c r="AIN89" s="22"/>
      <c r="AIO89" s="22"/>
      <c r="AIP89" s="22"/>
      <c r="AIQ89" s="22"/>
      <c r="AIR89" s="22"/>
      <c r="AIS89" s="22"/>
      <c r="AIT89" s="22"/>
      <c r="AIU89" s="22"/>
      <c r="AIV89" s="22"/>
      <c r="AIW89" s="22"/>
      <c r="AIX89" s="22"/>
      <c r="AIY89" s="22"/>
      <c r="AIZ89" s="22"/>
      <c r="AJA89" s="22"/>
      <c r="AJB89" s="22"/>
      <c r="AJC89" s="22"/>
      <c r="AJD89" s="22"/>
      <c r="AJE89" s="22"/>
      <c r="AJF89" s="22"/>
      <c r="AJG89" s="22"/>
      <c r="AJH89" s="22"/>
      <c r="AJI89" s="22"/>
      <c r="AJJ89" s="22"/>
      <c r="AJK89" s="22"/>
      <c r="AJL89" s="22"/>
      <c r="AJM89" s="22"/>
      <c r="AJN89" s="22"/>
      <c r="AJO89" s="22"/>
      <c r="AJP89" s="22"/>
      <c r="AJQ89" s="22"/>
      <c r="AJR89" s="22"/>
      <c r="AJS89" s="22"/>
      <c r="AJT89" s="22"/>
      <c r="AJU89" s="22"/>
      <c r="AJV89" s="22"/>
      <c r="AJW89" s="22"/>
      <c r="AJX89" s="22"/>
      <c r="AJY89" s="22"/>
      <c r="AJZ89" s="22"/>
      <c r="AKA89" s="22"/>
      <c r="AKB89" s="22"/>
      <c r="AKC89" s="22"/>
      <c r="AKD89" s="22"/>
      <c r="AKE89" s="22"/>
      <c r="AKF89" s="22"/>
      <c r="AKG89" s="22"/>
      <c r="AKH89" s="22"/>
      <c r="AKI89" s="22"/>
      <c r="AKJ89" s="22"/>
      <c r="AKK89" s="22"/>
      <c r="AKL89" s="22"/>
      <c r="AKM89" s="22"/>
      <c r="AKN89" s="22"/>
      <c r="AKO89" s="22"/>
      <c r="AKP89" s="22"/>
      <c r="AKQ89" s="22"/>
      <c r="AKR89" s="22"/>
      <c r="AKS89" s="22"/>
      <c r="AKT89" s="22"/>
      <c r="AKU89" s="22"/>
      <c r="AKV89" s="22"/>
      <c r="AKW89" s="22"/>
      <c r="AKX89" s="22"/>
      <c r="AKY89" s="22"/>
      <c r="AKZ89" s="22"/>
      <c r="ALA89" s="22"/>
      <c r="ALB89" s="22"/>
      <c r="ALC89" s="22"/>
      <c r="ALD89" s="22"/>
      <c r="ALE89" s="22"/>
      <c r="ALF89" s="22"/>
      <c r="ALG89" s="22"/>
      <c r="ALH89" s="22"/>
      <c r="ALI89" s="22"/>
      <c r="ALJ89" s="22"/>
      <c r="ALK89" s="22"/>
      <c r="ALL89" s="22"/>
      <c r="ALM89" s="22"/>
      <c r="ALN89" s="22"/>
      <c r="ALO89" s="22"/>
      <c r="ALP89" s="22"/>
      <c r="ALQ89" s="22"/>
      <c r="ALR89" s="22"/>
      <c r="ALS89" s="22"/>
      <c r="ALT89" s="22"/>
      <c r="ALU89" s="22"/>
      <c r="ALV89" s="22"/>
      <c r="ALW89" s="22"/>
      <c r="ALX89" s="22"/>
      <c r="ALY89" s="22"/>
      <c r="ALZ89" s="22"/>
      <c r="AMA89" s="22"/>
      <c r="AMB89" s="22"/>
      <c r="AMC89" s="22"/>
      <c r="AMD89" s="22"/>
      <c r="AME89" s="22"/>
      <c r="AMF89" s="22"/>
      <c r="AMG89" s="22"/>
      <c r="AMH89" s="22"/>
      <c r="AMI89" s="22"/>
      <c r="AMJ89" s="22"/>
      <c r="AMK89" s="22"/>
      <c r="AML89" s="22"/>
      <c r="AMM89" s="22"/>
      <c r="AMN89" s="22"/>
      <c r="AMO89" s="22"/>
      <c r="AMP89" s="22"/>
      <c r="AMQ89" s="22"/>
      <c r="AMR89" s="22"/>
      <c r="AMS89" s="22"/>
      <c r="AMT89" s="22"/>
      <c r="AMU89" s="22"/>
      <c r="AMV89" s="22"/>
      <c r="AMW89" s="22"/>
      <c r="AMX89" s="22"/>
      <c r="AMY89" s="22"/>
      <c r="AMZ89" s="22"/>
      <c r="ANA89" s="22"/>
      <c r="ANB89" s="22"/>
      <c r="ANC89" s="22"/>
      <c r="AND89" s="22"/>
      <c r="ANE89" s="22"/>
      <c r="ANF89" s="22"/>
      <c r="ANG89" s="22"/>
      <c r="ANH89" s="22"/>
      <c r="ANI89" s="22"/>
      <c r="ANJ89" s="22"/>
      <c r="ANK89" s="22"/>
      <c r="ANL89" s="22"/>
      <c r="ANM89" s="22"/>
      <c r="ANN89" s="22"/>
      <c r="ANO89" s="22"/>
      <c r="ANP89" s="22"/>
      <c r="ANQ89" s="22"/>
      <c r="ANR89" s="22"/>
      <c r="ANS89" s="22"/>
      <c r="ANT89" s="22"/>
      <c r="ANU89" s="22"/>
      <c r="ANV89" s="22"/>
      <c r="ANW89" s="22"/>
      <c r="ANX89" s="22"/>
      <c r="ANY89" s="22"/>
      <c r="ANZ89" s="22"/>
      <c r="AOA89" s="22"/>
      <c r="AOB89" s="22"/>
      <c r="AOC89" s="22"/>
      <c r="AOD89" s="22"/>
      <c r="AOE89" s="22"/>
      <c r="AOF89" s="22"/>
      <c r="AOG89" s="22"/>
      <c r="AOH89" s="22"/>
      <c r="AOI89" s="22"/>
      <c r="AOJ89" s="22"/>
      <c r="AOK89" s="22"/>
      <c r="AOL89" s="22"/>
      <c r="AOM89" s="22"/>
      <c r="AON89" s="22"/>
      <c r="AOO89" s="22"/>
      <c r="AOP89" s="22"/>
      <c r="AOQ89" s="22"/>
      <c r="AOR89" s="22"/>
      <c r="AOS89" s="22"/>
      <c r="AOT89" s="22"/>
      <c r="AOU89" s="22"/>
      <c r="AOV89" s="22"/>
      <c r="AOW89" s="22"/>
      <c r="AOX89" s="22"/>
      <c r="AOY89" s="22"/>
      <c r="AOZ89" s="22"/>
      <c r="APA89" s="22"/>
      <c r="APB89" s="22"/>
      <c r="APC89" s="22"/>
      <c r="APD89" s="22"/>
      <c r="APE89" s="22"/>
      <c r="APF89" s="22"/>
      <c r="APG89" s="22"/>
      <c r="APH89" s="22"/>
      <c r="API89" s="22"/>
      <c r="APJ89" s="22"/>
      <c r="APK89" s="22"/>
      <c r="APL89" s="22"/>
      <c r="APM89" s="22"/>
      <c r="APN89" s="22"/>
      <c r="APO89" s="22"/>
      <c r="APP89" s="22"/>
      <c r="APQ89" s="22"/>
      <c r="APR89" s="22"/>
      <c r="APS89" s="22"/>
      <c r="APT89" s="22"/>
      <c r="APU89" s="22"/>
      <c r="APV89" s="22"/>
      <c r="APW89" s="22"/>
      <c r="APX89" s="22"/>
      <c r="APY89" s="22"/>
      <c r="APZ89" s="22"/>
      <c r="AQA89" s="22"/>
      <c r="AQB89" s="22"/>
      <c r="AQC89" s="22"/>
      <c r="AQD89" s="22"/>
      <c r="AQE89" s="22"/>
      <c r="AQF89" s="22"/>
      <c r="AQG89" s="22"/>
      <c r="AQH89" s="22"/>
      <c r="AQI89" s="22"/>
      <c r="AQJ89" s="22"/>
      <c r="AQK89" s="22"/>
      <c r="AQL89" s="22"/>
      <c r="AQM89" s="22"/>
      <c r="AQN89" s="22"/>
      <c r="AQO89" s="22"/>
      <c r="AQP89" s="22"/>
      <c r="AQQ89" s="22"/>
      <c r="AQR89" s="22"/>
      <c r="AQS89" s="22"/>
      <c r="AQT89" s="22"/>
      <c r="AQU89" s="22"/>
      <c r="AQV89" s="22"/>
      <c r="AQW89" s="22"/>
      <c r="AQX89" s="22"/>
      <c r="AQY89" s="22"/>
      <c r="AQZ89" s="22"/>
      <c r="ARA89" s="22"/>
      <c r="ARB89" s="22"/>
      <c r="ARC89" s="22"/>
      <c r="ARD89" s="22"/>
      <c r="ARE89" s="22"/>
      <c r="ARF89" s="22"/>
      <c r="ARG89" s="22"/>
      <c r="ARH89" s="22"/>
      <c r="ARI89" s="22"/>
      <c r="ARJ89" s="22"/>
      <c r="ARK89" s="22"/>
      <c r="ARL89" s="22"/>
      <c r="ARM89" s="22"/>
      <c r="ARN89" s="22"/>
      <c r="ARO89" s="22"/>
      <c r="ARP89" s="22"/>
      <c r="ARQ89" s="22"/>
      <c r="ARR89" s="22"/>
      <c r="ARS89" s="22"/>
      <c r="ART89" s="22"/>
      <c r="ARU89" s="22"/>
      <c r="ARV89" s="22"/>
      <c r="ARW89" s="22"/>
      <c r="ARX89" s="22"/>
      <c r="ARY89" s="22"/>
      <c r="ARZ89" s="22"/>
      <c r="ASA89" s="22"/>
      <c r="ASB89" s="22"/>
      <c r="ASC89" s="22"/>
      <c r="ASD89" s="22"/>
      <c r="ASE89" s="22"/>
      <c r="ASF89" s="22"/>
      <c r="ASG89" s="22"/>
      <c r="ASH89" s="22"/>
      <c r="ASI89" s="22"/>
      <c r="ASJ89" s="22"/>
      <c r="ASK89" s="22"/>
      <c r="ASL89" s="22"/>
      <c r="ASM89" s="22"/>
      <c r="ASN89" s="22"/>
      <c r="ASO89" s="22"/>
      <c r="ASP89" s="22"/>
      <c r="ASQ89" s="22"/>
      <c r="ASR89" s="22"/>
      <c r="ASS89" s="22"/>
      <c r="AST89" s="22"/>
      <c r="ASU89" s="22"/>
      <c r="ASV89" s="22"/>
      <c r="ASW89" s="22"/>
      <c r="ASX89" s="22"/>
      <c r="ASY89" s="22"/>
      <c r="ASZ89" s="22"/>
      <c r="ATA89" s="22"/>
      <c r="ATB89" s="22"/>
      <c r="ATC89" s="22"/>
      <c r="ATD89" s="22"/>
      <c r="ATE89" s="22"/>
      <c r="ATF89" s="22"/>
      <c r="ATG89" s="22"/>
      <c r="ATH89" s="22"/>
      <c r="ATI89" s="22"/>
      <c r="ATJ89" s="22"/>
      <c r="ATK89" s="22"/>
      <c r="ATL89" s="22"/>
      <c r="ATM89" s="22"/>
      <c r="ATN89" s="22"/>
      <c r="ATO89" s="22"/>
      <c r="ATP89" s="22"/>
      <c r="ATQ89" s="22"/>
      <c r="ATR89" s="22"/>
      <c r="ATS89" s="22"/>
      <c r="ATT89" s="22"/>
      <c r="ATU89" s="22"/>
      <c r="ATV89" s="22"/>
      <c r="ATW89" s="22"/>
      <c r="ATX89" s="22"/>
      <c r="ATY89" s="22"/>
      <c r="ATZ89" s="22"/>
      <c r="AUA89" s="22"/>
      <c r="AUB89" s="22"/>
      <c r="AUC89" s="22"/>
      <c r="AUD89" s="22"/>
      <c r="AUE89" s="22"/>
      <c r="AUF89" s="22"/>
      <c r="AUG89" s="22"/>
      <c r="AUH89" s="22"/>
      <c r="AUI89" s="22"/>
      <c r="AUJ89" s="22"/>
      <c r="AUK89" s="22"/>
      <c r="AUL89" s="22"/>
      <c r="AUM89" s="22"/>
      <c r="AUN89" s="22"/>
      <c r="AUO89" s="22"/>
      <c r="AUP89" s="22"/>
      <c r="AUQ89" s="22"/>
      <c r="AUR89" s="22"/>
      <c r="AUS89" s="22"/>
      <c r="AUT89" s="22"/>
      <c r="AUU89" s="22"/>
      <c r="AUV89" s="22"/>
      <c r="AUW89" s="22"/>
      <c r="AUX89" s="22"/>
      <c r="AUY89" s="22"/>
      <c r="AUZ89" s="22"/>
      <c r="AVA89" s="22"/>
      <c r="AVB89" s="22"/>
      <c r="AVC89" s="22"/>
      <c r="AVD89" s="22"/>
      <c r="AVE89" s="22"/>
      <c r="AVF89" s="22"/>
      <c r="AVG89" s="22"/>
      <c r="AVH89" s="22"/>
      <c r="AVI89" s="22"/>
      <c r="AVJ89" s="22"/>
      <c r="AVK89" s="22"/>
      <c r="AVL89" s="22"/>
      <c r="AVM89" s="22"/>
      <c r="AVN89" s="22"/>
      <c r="AVO89" s="22"/>
      <c r="AVP89" s="22"/>
      <c r="AVQ89" s="22"/>
      <c r="AVR89" s="22"/>
      <c r="AVS89" s="22"/>
      <c r="AVT89" s="22"/>
      <c r="AVU89" s="22"/>
      <c r="AVV89" s="22"/>
      <c r="AVW89" s="22"/>
      <c r="AVX89" s="22"/>
      <c r="AVY89" s="22"/>
      <c r="AVZ89" s="22"/>
      <c r="AWA89" s="22"/>
      <c r="AWB89" s="22"/>
      <c r="AWC89" s="22"/>
      <c r="AWD89" s="22"/>
      <c r="AWE89" s="22"/>
      <c r="AWF89" s="22"/>
      <c r="AWG89" s="22"/>
      <c r="AWH89" s="22"/>
      <c r="AWI89" s="22"/>
      <c r="AWJ89" s="22"/>
      <c r="AWK89" s="22"/>
      <c r="AWL89" s="22"/>
      <c r="AWM89" s="22"/>
      <c r="AWN89" s="22"/>
      <c r="AWO89" s="22"/>
      <c r="AWP89" s="22"/>
      <c r="AWQ89" s="22"/>
      <c r="AWR89" s="22"/>
      <c r="AWS89" s="22"/>
      <c r="AWT89" s="22"/>
      <c r="AWU89" s="22"/>
      <c r="AWV89" s="22"/>
      <c r="AWW89" s="22"/>
      <c r="AWX89" s="22"/>
      <c r="AWY89" s="22"/>
      <c r="AWZ89" s="22"/>
      <c r="AXA89" s="22"/>
      <c r="AXB89" s="22"/>
      <c r="AXC89" s="22"/>
      <c r="AXD89" s="22"/>
      <c r="AXE89" s="22"/>
      <c r="AXF89" s="22"/>
      <c r="AXG89" s="22"/>
      <c r="AXH89" s="22"/>
      <c r="AXI89" s="22"/>
      <c r="AXJ89" s="22"/>
      <c r="AXK89" s="22"/>
      <c r="AXL89" s="22"/>
      <c r="AXM89" s="22"/>
      <c r="AXN89" s="22"/>
      <c r="AXO89" s="22"/>
      <c r="AXP89" s="22"/>
      <c r="AXQ89" s="22"/>
      <c r="AXR89" s="22"/>
      <c r="AXS89" s="22"/>
      <c r="AXT89" s="22"/>
      <c r="AXU89" s="22"/>
      <c r="AXV89" s="22"/>
      <c r="AXW89" s="22"/>
      <c r="AXX89" s="22"/>
      <c r="AXY89" s="22"/>
      <c r="AXZ89" s="22"/>
      <c r="AYA89" s="22"/>
      <c r="AYB89" s="22"/>
      <c r="AYC89" s="22"/>
      <c r="AYD89" s="22"/>
      <c r="AYE89" s="22"/>
      <c r="AYF89" s="22"/>
      <c r="AYG89" s="22"/>
      <c r="AYH89" s="22"/>
      <c r="AYI89" s="22"/>
      <c r="AYJ89" s="22"/>
      <c r="AYK89" s="22"/>
      <c r="AYL89" s="22"/>
      <c r="AYM89" s="22"/>
      <c r="AYN89" s="22"/>
      <c r="AYO89" s="22"/>
      <c r="AYP89" s="22"/>
      <c r="AYQ89" s="22"/>
      <c r="AYR89" s="22"/>
      <c r="AYS89" s="22"/>
      <c r="AYT89" s="22"/>
      <c r="AYU89" s="22"/>
      <c r="AYV89" s="22"/>
      <c r="AYW89" s="22"/>
      <c r="AYX89" s="22"/>
      <c r="AYY89" s="22"/>
      <c r="AYZ89" s="22"/>
      <c r="AZA89" s="22"/>
      <c r="AZB89" s="22"/>
      <c r="AZC89" s="22"/>
      <c r="AZD89" s="22"/>
      <c r="AZE89" s="22"/>
      <c r="AZF89" s="22"/>
      <c r="AZG89" s="22"/>
      <c r="AZH89" s="22"/>
      <c r="AZI89" s="22"/>
      <c r="AZJ89" s="22"/>
      <c r="AZK89" s="22"/>
      <c r="AZL89" s="22"/>
      <c r="AZM89" s="22"/>
      <c r="AZN89" s="22"/>
      <c r="AZO89" s="22"/>
      <c r="AZP89" s="22"/>
      <c r="AZQ89" s="22"/>
      <c r="AZR89" s="22"/>
      <c r="AZS89" s="22"/>
      <c r="AZT89" s="22"/>
      <c r="AZU89" s="22"/>
      <c r="AZV89" s="22"/>
      <c r="AZW89" s="22"/>
      <c r="AZX89" s="22"/>
      <c r="AZY89" s="22"/>
      <c r="AZZ89" s="22"/>
      <c r="BAA89" s="22"/>
      <c r="BAB89" s="22"/>
      <c r="BAC89" s="22"/>
      <c r="BAD89" s="22"/>
      <c r="BAE89" s="22"/>
      <c r="BAF89" s="22"/>
      <c r="BAG89" s="22"/>
      <c r="BAH89" s="22"/>
      <c r="BAI89" s="22"/>
      <c r="BAJ89" s="22"/>
      <c r="BAK89" s="22"/>
      <c r="BAL89" s="22"/>
      <c r="BAM89" s="22"/>
      <c r="BAN89" s="22"/>
      <c r="BAO89" s="22"/>
      <c r="BAP89" s="22"/>
      <c r="BAQ89" s="22"/>
      <c r="BAR89" s="22"/>
      <c r="BAS89" s="22"/>
      <c r="BAT89" s="22"/>
      <c r="BAU89" s="22"/>
      <c r="BAV89" s="22"/>
      <c r="BAW89" s="22"/>
      <c r="BAX89" s="22"/>
      <c r="BAY89" s="22"/>
      <c r="BAZ89" s="22"/>
      <c r="BBA89" s="22"/>
      <c r="BBB89" s="22"/>
      <c r="BBC89" s="22"/>
      <c r="BBD89" s="22"/>
      <c r="BBE89" s="22"/>
      <c r="BBF89" s="22"/>
      <c r="BBG89" s="22"/>
      <c r="BBH89" s="22"/>
      <c r="BBI89" s="22"/>
      <c r="BBJ89" s="22"/>
      <c r="BBK89" s="22"/>
      <c r="BBL89" s="22"/>
      <c r="BBM89" s="22"/>
      <c r="BBN89" s="22"/>
      <c r="BBO89" s="22"/>
      <c r="BBP89" s="22"/>
      <c r="BBQ89" s="22"/>
      <c r="BBR89" s="22"/>
      <c r="BBS89" s="22"/>
      <c r="BBT89" s="22"/>
      <c r="BBU89" s="22"/>
      <c r="BBV89" s="22"/>
      <c r="BBW89" s="22"/>
      <c r="BBX89" s="22"/>
      <c r="BBY89" s="22"/>
      <c r="BBZ89" s="22"/>
      <c r="BCA89" s="22"/>
      <c r="BCB89" s="22"/>
      <c r="BCC89" s="22"/>
      <c r="BCD89" s="22"/>
      <c r="BCE89" s="22"/>
      <c r="BCF89" s="22"/>
      <c r="BCG89" s="22"/>
      <c r="BCH89" s="22"/>
      <c r="BCI89" s="22"/>
      <c r="BCJ89" s="22"/>
      <c r="BCK89" s="22"/>
      <c r="BCL89" s="22"/>
      <c r="BCM89" s="22"/>
      <c r="BCN89" s="22"/>
      <c r="BCO89" s="22"/>
      <c r="BCP89" s="22"/>
      <c r="BCQ89" s="22"/>
      <c r="BCR89" s="22"/>
      <c r="BCS89" s="22"/>
      <c r="BCT89" s="22"/>
      <c r="BCU89" s="22"/>
      <c r="BCV89" s="22"/>
      <c r="BCW89" s="22"/>
      <c r="BCX89" s="22"/>
      <c r="BCY89" s="22"/>
      <c r="BCZ89" s="22"/>
      <c r="BDA89" s="22"/>
      <c r="BDB89" s="22"/>
      <c r="BDC89" s="22"/>
      <c r="BDD89" s="22"/>
      <c r="BDE89" s="22"/>
      <c r="BDF89" s="22"/>
      <c r="BDG89" s="22"/>
      <c r="BDH89" s="22"/>
      <c r="BDI89" s="22"/>
      <c r="BDJ89" s="22"/>
      <c r="BDK89" s="22"/>
      <c r="BDL89" s="22"/>
      <c r="BDM89" s="22"/>
      <c r="BDN89" s="22"/>
      <c r="BDO89" s="22"/>
      <c r="BDP89" s="22"/>
      <c r="BDQ89" s="22"/>
      <c r="BDR89" s="22"/>
      <c r="BDS89" s="22"/>
      <c r="BDT89" s="22"/>
      <c r="BDU89" s="22"/>
      <c r="BDV89" s="22"/>
      <c r="BDW89" s="22"/>
      <c r="BDX89" s="22"/>
      <c r="BDY89" s="22"/>
      <c r="BDZ89" s="22"/>
      <c r="BEA89" s="22"/>
      <c r="BEB89" s="22"/>
      <c r="BEC89" s="22"/>
      <c r="BED89" s="22"/>
      <c r="BEE89" s="22"/>
      <c r="BEF89" s="22"/>
      <c r="BEG89" s="22"/>
      <c r="BEH89" s="22"/>
      <c r="BEI89" s="22"/>
      <c r="BEJ89" s="22"/>
      <c r="BEK89" s="22"/>
      <c r="BEL89" s="22"/>
      <c r="BEM89" s="22"/>
      <c r="BEN89" s="22"/>
      <c r="BEO89" s="22"/>
      <c r="BEP89" s="22"/>
      <c r="BEQ89" s="22"/>
      <c r="BER89" s="22"/>
      <c r="BES89" s="22"/>
      <c r="BET89" s="22"/>
      <c r="BEU89" s="22"/>
      <c r="BEV89" s="22"/>
      <c r="BEW89" s="22"/>
      <c r="BEX89" s="22"/>
      <c r="BEY89" s="22"/>
      <c r="BEZ89" s="22"/>
      <c r="BFA89" s="22"/>
      <c r="BFB89" s="22"/>
      <c r="BFC89" s="22"/>
      <c r="BFD89" s="22"/>
      <c r="BFE89" s="22"/>
      <c r="BFF89" s="22"/>
      <c r="BFG89" s="22"/>
      <c r="BFH89" s="22"/>
      <c r="BFI89" s="22"/>
      <c r="BFJ89" s="22"/>
      <c r="BFK89" s="22"/>
      <c r="BFL89" s="22"/>
      <c r="BFM89" s="22"/>
      <c r="BFN89" s="22"/>
      <c r="BFO89" s="22"/>
      <c r="BFP89" s="22"/>
      <c r="BFQ89" s="22"/>
      <c r="BFR89" s="22"/>
      <c r="BFS89" s="22"/>
      <c r="BFT89" s="22"/>
      <c r="BFU89" s="22"/>
      <c r="BFV89" s="22"/>
      <c r="BFW89" s="22"/>
    </row>
    <row r="90" spans="1:1531" s="208" customFormat="1" ht="46.15" customHeight="1" x14ac:dyDescent="0.2">
      <c r="A90" s="305" t="s">
        <v>528</v>
      </c>
      <c r="B90" s="286"/>
      <c r="C90" s="122" t="s">
        <v>558</v>
      </c>
      <c r="D90" s="286"/>
      <c r="E90" s="286" t="s">
        <v>834</v>
      </c>
      <c r="F90" s="286"/>
      <c r="G90" s="286" t="s">
        <v>536</v>
      </c>
      <c r="H90" s="174"/>
      <c r="I90" s="281" t="s">
        <v>707</v>
      </c>
      <c r="J90" s="176"/>
      <c r="K90" s="122" t="s">
        <v>117</v>
      </c>
      <c r="L90" s="176"/>
      <c r="M90" s="176"/>
      <c r="N90" s="176"/>
      <c r="O90" s="176">
        <v>2016</v>
      </c>
      <c r="P90" s="162" t="s">
        <v>750</v>
      </c>
      <c r="Q90" s="176"/>
      <c r="R90" s="176"/>
      <c r="S90" s="282"/>
      <c r="T90" s="176"/>
      <c r="U90" s="176"/>
      <c r="V90" s="176"/>
      <c r="W90" s="176"/>
      <c r="X90" s="176"/>
      <c r="Y90" s="283"/>
      <c r="Z90" s="176"/>
      <c r="AA90" s="282"/>
      <c r="AB90" s="176"/>
      <c r="AC90" s="176"/>
      <c r="AD90" s="176"/>
      <c r="AE90" s="176"/>
      <c r="AF90" s="176"/>
      <c r="AG90" s="176"/>
      <c r="AH90" s="176"/>
      <c r="AI90" s="176"/>
      <c r="AJ90" s="176"/>
      <c r="AK90" s="176"/>
      <c r="AL90" s="176">
        <v>44</v>
      </c>
      <c r="AM90" s="176"/>
      <c r="AN90" s="284" t="s">
        <v>707</v>
      </c>
      <c r="AU90" s="285" t="s">
        <v>797</v>
      </c>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c r="IW90" s="22"/>
      <c r="IX90" s="22"/>
      <c r="IY90" s="22"/>
      <c r="IZ90" s="22"/>
      <c r="JA90" s="22"/>
      <c r="JB90" s="22"/>
      <c r="JC90" s="22"/>
      <c r="JD90" s="22"/>
      <c r="JE90" s="22"/>
      <c r="JF90" s="22"/>
      <c r="JG90" s="22"/>
      <c r="JH90" s="22"/>
      <c r="JI90" s="22"/>
      <c r="JJ90" s="22"/>
      <c r="JK90" s="22"/>
      <c r="JL90" s="22"/>
      <c r="JM90" s="22"/>
      <c r="JN90" s="22"/>
      <c r="JO90" s="22"/>
      <c r="JP90" s="22"/>
      <c r="JQ90" s="22"/>
      <c r="JR90" s="22"/>
      <c r="JS90" s="22"/>
      <c r="JT90" s="22"/>
      <c r="JU90" s="22"/>
      <c r="JV90" s="22"/>
      <c r="JW90" s="22"/>
      <c r="JX90" s="22"/>
      <c r="JY90" s="22"/>
      <c r="JZ90" s="22"/>
      <c r="KA90" s="22"/>
      <c r="KB90" s="22"/>
      <c r="KC90" s="22"/>
      <c r="KD90" s="22"/>
      <c r="KE90" s="22"/>
      <c r="KF90" s="22"/>
      <c r="KG90" s="22"/>
      <c r="KH90" s="22"/>
      <c r="KI90" s="22"/>
      <c r="KJ90" s="22"/>
      <c r="KK90" s="22"/>
      <c r="KL90" s="22"/>
      <c r="KM90" s="22"/>
      <c r="KN90" s="22"/>
      <c r="KO90" s="22"/>
      <c r="KP90" s="22"/>
      <c r="KQ90" s="22"/>
      <c r="KR90" s="22"/>
      <c r="KS90" s="22"/>
      <c r="KT90" s="22"/>
      <c r="KU90" s="22"/>
      <c r="KV90" s="22"/>
      <c r="KW90" s="22"/>
      <c r="KX90" s="22"/>
      <c r="KY90" s="22"/>
      <c r="KZ90" s="22"/>
      <c r="LA90" s="22"/>
      <c r="LB90" s="22"/>
      <c r="LC90" s="22"/>
      <c r="LD90" s="22"/>
      <c r="LE90" s="22"/>
      <c r="LF90" s="22"/>
      <c r="LG90" s="22"/>
      <c r="LH90" s="22"/>
      <c r="LI90" s="22"/>
      <c r="LJ90" s="22"/>
      <c r="LK90" s="22"/>
      <c r="LL90" s="22"/>
      <c r="LM90" s="22"/>
      <c r="LN90" s="22"/>
      <c r="LO90" s="22"/>
      <c r="LP90" s="22"/>
      <c r="LQ90" s="22"/>
      <c r="LR90" s="22"/>
      <c r="LS90" s="22"/>
      <c r="LT90" s="22"/>
      <c r="LU90" s="22"/>
      <c r="LV90" s="22"/>
      <c r="LW90" s="22"/>
      <c r="LX90" s="22"/>
      <c r="LY90" s="22"/>
      <c r="LZ90" s="22"/>
      <c r="MA90" s="22"/>
      <c r="MB90" s="22"/>
      <c r="MC90" s="22"/>
      <c r="MD90" s="22"/>
      <c r="ME90" s="22"/>
      <c r="MF90" s="22"/>
      <c r="MG90" s="22"/>
      <c r="MH90" s="22"/>
      <c r="MI90" s="22"/>
      <c r="MJ90" s="22"/>
      <c r="MK90" s="22"/>
      <c r="ML90" s="22"/>
      <c r="MM90" s="22"/>
      <c r="MN90" s="22"/>
      <c r="MO90" s="22"/>
      <c r="MP90" s="22"/>
      <c r="MQ90" s="22"/>
      <c r="MR90" s="22"/>
      <c r="MS90" s="22"/>
      <c r="MT90" s="22"/>
      <c r="MU90" s="22"/>
      <c r="MV90" s="22"/>
      <c r="MW90" s="22"/>
      <c r="MX90" s="22"/>
      <c r="MY90" s="22"/>
      <c r="MZ90" s="22"/>
      <c r="NA90" s="22"/>
      <c r="NB90" s="22"/>
      <c r="NC90" s="22"/>
      <c r="ND90" s="22"/>
      <c r="NE90" s="22"/>
      <c r="NF90" s="22"/>
      <c r="NG90" s="22"/>
      <c r="NH90" s="22"/>
      <c r="NI90" s="22"/>
      <c r="NJ90" s="22"/>
      <c r="NK90" s="22"/>
      <c r="NL90" s="22"/>
      <c r="NM90" s="22"/>
      <c r="NN90" s="22"/>
      <c r="NO90" s="22"/>
      <c r="NP90" s="22"/>
      <c r="NQ90" s="22"/>
      <c r="NR90" s="22"/>
      <c r="NS90" s="22"/>
      <c r="NT90" s="22"/>
      <c r="NU90" s="22"/>
      <c r="NV90" s="22"/>
      <c r="NW90" s="22"/>
      <c r="NX90" s="22"/>
      <c r="NY90" s="22"/>
      <c r="NZ90" s="22"/>
      <c r="OA90" s="22"/>
      <c r="OB90" s="22"/>
      <c r="OC90" s="22"/>
      <c r="OD90" s="22"/>
      <c r="OE90" s="22"/>
      <c r="OF90" s="22"/>
      <c r="OG90" s="22"/>
      <c r="OH90" s="22"/>
      <c r="OI90" s="22"/>
      <c r="OJ90" s="22"/>
      <c r="OK90" s="22"/>
      <c r="OL90" s="22"/>
      <c r="OM90" s="22"/>
      <c r="ON90" s="22"/>
      <c r="OO90" s="22"/>
      <c r="OP90" s="22"/>
      <c r="OQ90" s="22"/>
      <c r="OR90" s="22"/>
      <c r="OS90" s="22"/>
      <c r="OT90" s="22"/>
      <c r="OU90" s="22"/>
      <c r="OV90" s="22"/>
      <c r="OW90" s="22"/>
      <c r="OX90" s="22"/>
      <c r="OY90" s="22"/>
      <c r="OZ90" s="22"/>
      <c r="PA90" s="22"/>
      <c r="PB90" s="22"/>
      <c r="PC90" s="22"/>
      <c r="PD90" s="22"/>
      <c r="PE90" s="22"/>
      <c r="PF90" s="22"/>
      <c r="PG90" s="22"/>
      <c r="PH90" s="22"/>
      <c r="PI90" s="22"/>
      <c r="PJ90" s="22"/>
      <c r="PK90" s="22"/>
      <c r="PL90" s="22"/>
      <c r="PM90" s="22"/>
      <c r="PN90" s="22"/>
      <c r="PO90" s="22"/>
      <c r="PP90" s="22"/>
      <c r="PQ90" s="22"/>
      <c r="PR90" s="22"/>
      <c r="PS90" s="22"/>
      <c r="PT90" s="22"/>
      <c r="PU90" s="22"/>
      <c r="PV90" s="22"/>
      <c r="PW90" s="22"/>
      <c r="PX90" s="22"/>
      <c r="PY90" s="22"/>
      <c r="PZ90" s="22"/>
      <c r="QA90" s="22"/>
      <c r="QB90" s="22"/>
      <c r="QC90" s="22"/>
      <c r="QD90" s="22"/>
      <c r="QE90" s="22"/>
      <c r="QF90" s="22"/>
      <c r="QG90" s="22"/>
      <c r="QH90" s="22"/>
      <c r="QI90" s="22"/>
      <c r="QJ90" s="22"/>
      <c r="QK90" s="22"/>
      <c r="QL90" s="22"/>
      <c r="QM90" s="22"/>
      <c r="QN90" s="22"/>
      <c r="QO90" s="22"/>
      <c r="QP90" s="22"/>
      <c r="QQ90" s="22"/>
      <c r="QR90" s="22"/>
      <c r="QS90" s="22"/>
      <c r="QT90" s="22"/>
      <c r="QU90" s="22"/>
      <c r="QV90" s="22"/>
      <c r="QW90" s="22"/>
      <c r="QX90" s="22"/>
      <c r="QY90" s="22"/>
      <c r="QZ90" s="22"/>
      <c r="RA90" s="22"/>
      <c r="RB90" s="22"/>
      <c r="RC90" s="22"/>
      <c r="RD90" s="22"/>
      <c r="RE90" s="22"/>
      <c r="RF90" s="22"/>
      <c r="RG90" s="22"/>
      <c r="RH90" s="22"/>
      <c r="RI90" s="22"/>
      <c r="RJ90" s="22"/>
      <c r="RK90" s="22"/>
      <c r="RL90" s="22"/>
      <c r="RM90" s="22"/>
      <c r="RN90" s="22"/>
      <c r="RO90" s="22"/>
      <c r="RP90" s="22"/>
      <c r="RQ90" s="22"/>
      <c r="RR90" s="22"/>
      <c r="RS90" s="22"/>
      <c r="RT90" s="22"/>
      <c r="RU90" s="22"/>
      <c r="RV90" s="22"/>
      <c r="RW90" s="22"/>
      <c r="RX90" s="22"/>
      <c r="RY90" s="22"/>
      <c r="RZ90" s="22"/>
      <c r="SA90" s="22"/>
      <c r="SB90" s="22"/>
      <c r="SC90" s="22"/>
      <c r="SD90" s="22"/>
      <c r="SE90" s="22"/>
      <c r="SF90" s="22"/>
      <c r="SG90" s="22"/>
      <c r="SH90" s="22"/>
      <c r="SI90" s="22"/>
      <c r="SJ90" s="22"/>
      <c r="SK90" s="22"/>
      <c r="SL90" s="22"/>
      <c r="SM90" s="22"/>
      <c r="SN90" s="22"/>
      <c r="SO90" s="22"/>
      <c r="SP90" s="22"/>
      <c r="SQ90" s="22"/>
      <c r="SR90" s="22"/>
      <c r="SS90" s="22"/>
      <c r="ST90" s="22"/>
      <c r="SU90" s="22"/>
      <c r="SV90" s="22"/>
      <c r="SW90" s="22"/>
      <c r="SX90" s="22"/>
      <c r="SY90" s="22"/>
      <c r="SZ90" s="22"/>
      <c r="TA90" s="22"/>
      <c r="TB90" s="22"/>
      <c r="TC90" s="22"/>
      <c r="TD90" s="22"/>
      <c r="TE90" s="22"/>
      <c r="TF90" s="22"/>
      <c r="TG90" s="22"/>
      <c r="TH90" s="22"/>
      <c r="TI90" s="22"/>
      <c r="TJ90" s="22"/>
      <c r="TK90" s="22"/>
      <c r="TL90" s="22"/>
      <c r="TM90" s="22"/>
      <c r="TN90" s="22"/>
      <c r="TO90" s="22"/>
      <c r="TP90" s="22"/>
      <c r="TQ90" s="22"/>
      <c r="TR90" s="22"/>
      <c r="TS90" s="22"/>
      <c r="TT90" s="22"/>
      <c r="TU90" s="22"/>
      <c r="TV90" s="22"/>
      <c r="TW90" s="22"/>
      <c r="TX90" s="22"/>
      <c r="TY90" s="22"/>
      <c r="TZ90" s="22"/>
      <c r="UA90" s="22"/>
      <c r="UB90" s="22"/>
      <c r="UC90" s="22"/>
      <c r="UD90" s="22"/>
      <c r="UE90" s="22"/>
      <c r="UF90" s="22"/>
      <c r="UG90" s="22"/>
      <c r="UH90" s="22"/>
      <c r="UI90" s="22"/>
      <c r="UJ90" s="22"/>
      <c r="UK90" s="22"/>
      <c r="UL90" s="22"/>
      <c r="UM90" s="22"/>
      <c r="UN90" s="22"/>
      <c r="UO90" s="22"/>
      <c r="UP90" s="22"/>
      <c r="UQ90" s="22"/>
      <c r="UR90" s="22"/>
      <c r="US90" s="22"/>
      <c r="UT90" s="22"/>
      <c r="UU90" s="22"/>
      <c r="UV90" s="22"/>
      <c r="UW90" s="22"/>
      <c r="UX90" s="22"/>
      <c r="UY90" s="22"/>
      <c r="UZ90" s="22"/>
      <c r="VA90" s="22"/>
      <c r="VB90" s="22"/>
      <c r="VC90" s="22"/>
      <c r="VD90" s="22"/>
      <c r="VE90" s="22"/>
      <c r="VF90" s="22"/>
      <c r="VG90" s="22"/>
      <c r="VH90" s="22"/>
      <c r="VI90" s="22"/>
      <c r="VJ90" s="22"/>
      <c r="VK90" s="22"/>
      <c r="VL90" s="22"/>
      <c r="VM90" s="22"/>
      <c r="VN90" s="22"/>
      <c r="VO90" s="22"/>
      <c r="VP90" s="22"/>
      <c r="VQ90" s="22"/>
      <c r="VR90" s="22"/>
      <c r="VS90" s="22"/>
      <c r="VT90" s="22"/>
      <c r="VU90" s="22"/>
      <c r="VV90" s="22"/>
      <c r="VW90" s="22"/>
      <c r="VX90" s="22"/>
      <c r="VY90" s="22"/>
      <c r="VZ90" s="22"/>
      <c r="WA90" s="22"/>
      <c r="WB90" s="22"/>
      <c r="WC90" s="22"/>
      <c r="WD90" s="22"/>
      <c r="WE90" s="22"/>
      <c r="WF90" s="22"/>
      <c r="WG90" s="22"/>
      <c r="WH90" s="22"/>
      <c r="WI90" s="22"/>
      <c r="WJ90" s="22"/>
      <c r="WK90" s="22"/>
      <c r="WL90" s="22"/>
      <c r="WM90" s="22"/>
      <c r="WN90" s="22"/>
      <c r="WO90" s="22"/>
      <c r="WP90" s="22"/>
      <c r="WQ90" s="22"/>
      <c r="WR90" s="22"/>
      <c r="WS90" s="22"/>
      <c r="WT90" s="22"/>
      <c r="WU90" s="22"/>
      <c r="WV90" s="22"/>
      <c r="WW90" s="22"/>
      <c r="WX90" s="22"/>
      <c r="WY90" s="22"/>
      <c r="WZ90" s="22"/>
      <c r="XA90" s="22"/>
      <c r="XB90" s="22"/>
      <c r="XC90" s="22"/>
      <c r="XD90" s="22"/>
      <c r="XE90" s="22"/>
      <c r="XF90" s="22"/>
      <c r="XG90" s="22"/>
      <c r="XH90" s="22"/>
      <c r="XI90" s="22"/>
      <c r="XJ90" s="22"/>
      <c r="XK90" s="22"/>
      <c r="XL90" s="22"/>
      <c r="XM90" s="22"/>
      <c r="XN90" s="22"/>
      <c r="XO90" s="22"/>
      <c r="XP90" s="22"/>
      <c r="XQ90" s="22"/>
      <c r="XR90" s="22"/>
      <c r="XS90" s="22"/>
      <c r="XT90" s="22"/>
      <c r="XU90" s="22"/>
      <c r="XV90" s="22"/>
      <c r="XW90" s="22"/>
      <c r="XX90" s="22"/>
      <c r="XY90" s="22"/>
      <c r="XZ90" s="22"/>
      <c r="YA90" s="22"/>
      <c r="YB90" s="22"/>
      <c r="YC90" s="22"/>
      <c r="YD90" s="22"/>
      <c r="YE90" s="22"/>
      <c r="YF90" s="22"/>
      <c r="YG90" s="22"/>
      <c r="YH90" s="22"/>
      <c r="YI90" s="22"/>
      <c r="YJ90" s="22"/>
      <c r="YK90" s="22"/>
      <c r="YL90" s="22"/>
      <c r="YM90" s="22"/>
      <c r="YN90" s="22"/>
      <c r="YO90" s="22"/>
      <c r="YP90" s="22"/>
      <c r="YQ90" s="22"/>
      <c r="YR90" s="22"/>
      <c r="YS90" s="22"/>
      <c r="YT90" s="22"/>
      <c r="YU90" s="22"/>
      <c r="YV90" s="22"/>
      <c r="YW90" s="22"/>
      <c r="YX90" s="22"/>
      <c r="YY90" s="22"/>
      <c r="YZ90" s="22"/>
      <c r="ZA90" s="22"/>
      <c r="ZB90" s="22"/>
      <c r="ZC90" s="22"/>
      <c r="ZD90" s="22"/>
      <c r="ZE90" s="22"/>
      <c r="ZF90" s="22"/>
      <c r="ZG90" s="22"/>
      <c r="ZH90" s="22"/>
      <c r="ZI90" s="22"/>
      <c r="ZJ90" s="22"/>
      <c r="ZK90" s="22"/>
      <c r="ZL90" s="22"/>
      <c r="ZM90" s="22"/>
      <c r="ZN90" s="22"/>
      <c r="ZO90" s="22"/>
      <c r="ZP90" s="22"/>
      <c r="ZQ90" s="22"/>
      <c r="ZR90" s="22"/>
      <c r="ZS90" s="22"/>
      <c r="ZT90" s="22"/>
      <c r="ZU90" s="22"/>
      <c r="ZV90" s="22"/>
      <c r="ZW90" s="22"/>
      <c r="ZX90" s="22"/>
      <c r="ZY90" s="22"/>
      <c r="ZZ90" s="22"/>
      <c r="AAA90" s="22"/>
      <c r="AAB90" s="22"/>
      <c r="AAC90" s="22"/>
      <c r="AAD90" s="22"/>
      <c r="AAE90" s="22"/>
      <c r="AAF90" s="22"/>
      <c r="AAG90" s="22"/>
      <c r="AAH90" s="22"/>
      <c r="AAI90" s="22"/>
      <c r="AAJ90" s="22"/>
      <c r="AAK90" s="22"/>
      <c r="AAL90" s="22"/>
      <c r="AAM90" s="22"/>
      <c r="AAN90" s="22"/>
      <c r="AAO90" s="22"/>
      <c r="AAP90" s="22"/>
      <c r="AAQ90" s="22"/>
      <c r="AAR90" s="22"/>
      <c r="AAS90" s="22"/>
      <c r="AAT90" s="22"/>
      <c r="AAU90" s="22"/>
      <c r="AAV90" s="22"/>
      <c r="AAW90" s="22"/>
      <c r="AAX90" s="22"/>
      <c r="AAY90" s="22"/>
      <c r="AAZ90" s="22"/>
      <c r="ABA90" s="22"/>
      <c r="ABB90" s="22"/>
      <c r="ABC90" s="22"/>
      <c r="ABD90" s="22"/>
      <c r="ABE90" s="22"/>
      <c r="ABF90" s="22"/>
      <c r="ABG90" s="22"/>
      <c r="ABH90" s="22"/>
      <c r="ABI90" s="22"/>
      <c r="ABJ90" s="22"/>
      <c r="ABK90" s="22"/>
      <c r="ABL90" s="22"/>
      <c r="ABM90" s="22"/>
      <c r="ABN90" s="22"/>
      <c r="ABO90" s="22"/>
      <c r="ABP90" s="22"/>
      <c r="ABQ90" s="22"/>
      <c r="ABR90" s="22"/>
      <c r="ABS90" s="22"/>
      <c r="ABT90" s="22"/>
      <c r="ABU90" s="22"/>
      <c r="ABV90" s="22"/>
      <c r="ABW90" s="22"/>
      <c r="ABX90" s="22"/>
      <c r="ABY90" s="22"/>
      <c r="ABZ90" s="22"/>
      <c r="ACA90" s="22"/>
      <c r="ACB90" s="22"/>
      <c r="ACC90" s="22"/>
      <c r="ACD90" s="22"/>
      <c r="ACE90" s="22"/>
      <c r="ACF90" s="22"/>
      <c r="ACG90" s="22"/>
      <c r="ACH90" s="22"/>
      <c r="ACI90" s="22"/>
      <c r="ACJ90" s="22"/>
      <c r="ACK90" s="22"/>
      <c r="ACL90" s="22"/>
      <c r="ACM90" s="22"/>
      <c r="ACN90" s="22"/>
      <c r="ACO90" s="22"/>
      <c r="ACP90" s="22"/>
      <c r="ACQ90" s="22"/>
      <c r="ACR90" s="22"/>
      <c r="ACS90" s="22"/>
      <c r="ACT90" s="22"/>
      <c r="ACU90" s="22"/>
      <c r="ACV90" s="22"/>
      <c r="ACW90" s="22"/>
      <c r="ACX90" s="22"/>
      <c r="ACY90" s="22"/>
      <c r="ACZ90" s="22"/>
      <c r="ADA90" s="22"/>
      <c r="ADB90" s="22"/>
      <c r="ADC90" s="22"/>
      <c r="ADD90" s="22"/>
      <c r="ADE90" s="22"/>
      <c r="ADF90" s="22"/>
      <c r="ADG90" s="22"/>
      <c r="ADH90" s="22"/>
      <c r="ADI90" s="22"/>
      <c r="ADJ90" s="22"/>
      <c r="ADK90" s="22"/>
      <c r="ADL90" s="22"/>
      <c r="ADM90" s="22"/>
      <c r="ADN90" s="22"/>
      <c r="ADO90" s="22"/>
      <c r="ADP90" s="22"/>
      <c r="ADQ90" s="22"/>
      <c r="ADR90" s="22"/>
      <c r="ADS90" s="22"/>
      <c r="ADT90" s="22"/>
      <c r="ADU90" s="22"/>
      <c r="ADV90" s="22"/>
      <c r="ADW90" s="22"/>
      <c r="ADX90" s="22"/>
      <c r="ADY90" s="22"/>
      <c r="ADZ90" s="22"/>
      <c r="AEA90" s="22"/>
      <c r="AEB90" s="22"/>
      <c r="AEC90" s="22"/>
      <c r="AED90" s="22"/>
      <c r="AEE90" s="22"/>
      <c r="AEF90" s="22"/>
      <c r="AEG90" s="22"/>
      <c r="AEH90" s="22"/>
      <c r="AEI90" s="22"/>
      <c r="AEJ90" s="22"/>
      <c r="AEK90" s="22"/>
      <c r="AEL90" s="22"/>
      <c r="AEM90" s="22"/>
      <c r="AEN90" s="22"/>
      <c r="AEO90" s="22"/>
      <c r="AEP90" s="22"/>
      <c r="AEQ90" s="22"/>
      <c r="AER90" s="22"/>
      <c r="AES90" s="22"/>
      <c r="AET90" s="22"/>
      <c r="AEU90" s="22"/>
      <c r="AEV90" s="22"/>
      <c r="AEW90" s="22"/>
      <c r="AEX90" s="22"/>
      <c r="AEY90" s="22"/>
      <c r="AEZ90" s="22"/>
      <c r="AFA90" s="22"/>
      <c r="AFB90" s="22"/>
      <c r="AFC90" s="22"/>
      <c r="AFD90" s="22"/>
      <c r="AFE90" s="22"/>
      <c r="AFF90" s="22"/>
      <c r="AFG90" s="22"/>
      <c r="AFH90" s="22"/>
      <c r="AFI90" s="22"/>
      <c r="AFJ90" s="22"/>
      <c r="AFK90" s="22"/>
      <c r="AFL90" s="22"/>
      <c r="AFM90" s="22"/>
      <c r="AFN90" s="22"/>
      <c r="AFO90" s="22"/>
      <c r="AFP90" s="22"/>
      <c r="AFQ90" s="22"/>
      <c r="AFR90" s="22"/>
      <c r="AFS90" s="22"/>
      <c r="AFT90" s="22"/>
      <c r="AFU90" s="22"/>
      <c r="AFV90" s="22"/>
      <c r="AFW90" s="22"/>
      <c r="AFX90" s="22"/>
      <c r="AFY90" s="22"/>
      <c r="AFZ90" s="22"/>
      <c r="AGA90" s="22"/>
      <c r="AGB90" s="22"/>
      <c r="AGC90" s="22"/>
      <c r="AGD90" s="22"/>
      <c r="AGE90" s="22"/>
      <c r="AGF90" s="22"/>
      <c r="AGG90" s="22"/>
      <c r="AGH90" s="22"/>
      <c r="AGI90" s="22"/>
      <c r="AGJ90" s="22"/>
      <c r="AGK90" s="22"/>
      <c r="AGL90" s="22"/>
      <c r="AGM90" s="22"/>
      <c r="AGN90" s="22"/>
      <c r="AGO90" s="22"/>
      <c r="AGP90" s="22"/>
      <c r="AGQ90" s="22"/>
      <c r="AGR90" s="22"/>
      <c r="AGS90" s="22"/>
      <c r="AGT90" s="22"/>
      <c r="AGU90" s="22"/>
      <c r="AGV90" s="22"/>
      <c r="AGW90" s="22"/>
      <c r="AGX90" s="22"/>
      <c r="AGY90" s="22"/>
      <c r="AGZ90" s="22"/>
      <c r="AHA90" s="22"/>
      <c r="AHB90" s="22"/>
      <c r="AHC90" s="22"/>
      <c r="AHD90" s="22"/>
      <c r="AHE90" s="22"/>
      <c r="AHF90" s="22"/>
      <c r="AHG90" s="22"/>
      <c r="AHH90" s="22"/>
      <c r="AHI90" s="22"/>
      <c r="AHJ90" s="22"/>
      <c r="AHK90" s="22"/>
      <c r="AHL90" s="22"/>
      <c r="AHM90" s="22"/>
      <c r="AHN90" s="22"/>
      <c r="AHO90" s="22"/>
      <c r="AHP90" s="22"/>
      <c r="AHQ90" s="22"/>
      <c r="AHR90" s="22"/>
      <c r="AHS90" s="22"/>
      <c r="AHT90" s="22"/>
      <c r="AHU90" s="22"/>
      <c r="AHV90" s="22"/>
      <c r="AHW90" s="22"/>
      <c r="AHX90" s="22"/>
      <c r="AHY90" s="22"/>
      <c r="AHZ90" s="22"/>
      <c r="AIA90" s="22"/>
      <c r="AIB90" s="22"/>
      <c r="AIC90" s="22"/>
      <c r="AID90" s="22"/>
      <c r="AIE90" s="22"/>
      <c r="AIF90" s="22"/>
      <c r="AIG90" s="22"/>
      <c r="AIH90" s="22"/>
      <c r="AII90" s="22"/>
      <c r="AIJ90" s="22"/>
      <c r="AIK90" s="22"/>
      <c r="AIL90" s="22"/>
      <c r="AIM90" s="22"/>
      <c r="AIN90" s="22"/>
      <c r="AIO90" s="22"/>
      <c r="AIP90" s="22"/>
      <c r="AIQ90" s="22"/>
      <c r="AIR90" s="22"/>
      <c r="AIS90" s="22"/>
      <c r="AIT90" s="22"/>
      <c r="AIU90" s="22"/>
      <c r="AIV90" s="22"/>
      <c r="AIW90" s="22"/>
      <c r="AIX90" s="22"/>
      <c r="AIY90" s="22"/>
      <c r="AIZ90" s="22"/>
      <c r="AJA90" s="22"/>
      <c r="AJB90" s="22"/>
      <c r="AJC90" s="22"/>
      <c r="AJD90" s="22"/>
      <c r="AJE90" s="22"/>
      <c r="AJF90" s="22"/>
      <c r="AJG90" s="22"/>
      <c r="AJH90" s="22"/>
      <c r="AJI90" s="22"/>
      <c r="AJJ90" s="22"/>
      <c r="AJK90" s="22"/>
      <c r="AJL90" s="22"/>
      <c r="AJM90" s="22"/>
      <c r="AJN90" s="22"/>
      <c r="AJO90" s="22"/>
      <c r="AJP90" s="22"/>
      <c r="AJQ90" s="22"/>
      <c r="AJR90" s="22"/>
      <c r="AJS90" s="22"/>
      <c r="AJT90" s="22"/>
      <c r="AJU90" s="22"/>
      <c r="AJV90" s="22"/>
      <c r="AJW90" s="22"/>
      <c r="AJX90" s="22"/>
      <c r="AJY90" s="22"/>
      <c r="AJZ90" s="22"/>
      <c r="AKA90" s="22"/>
      <c r="AKB90" s="22"/>
      <c r="AKC90" s="22"/>
      <c r="AKD90" s="22"/>
      <c r="AKE90" s="22"/>
      <c r="AKF90" s="22"/>
      <c r="AKG90" s="22"/>
      <c r="AKH90" s="22"/>
      <c r="AKI90" s="22"/>
      <c r="AKJ90" s="22"/>
      <c r="AKK90" s="22"/>
      <c r="AKL90" s="22"/>
      <c r="AKM90" s="22"/>
      <c r="AKN90" s="22"/>
      <c r="AKO90" s="22"/>
      <c r="AKP90" s="22"/>
      <c r="AKQ90" s="22"/>
      <c r="AKR90" s="22"/>
      <c r="AKS90" s="22"/>
      <c r="AKT90" s="22"/>
      <c r="AKU90" s="22"/>
      <c r="AKV90" s="22"/>
      <c r="AKW90" s="22"/>
      <c r="AKX90" s="22"/>
      <c r="AKY90" s="22"/>
      <c r="AKZ90" s="22"/>
      <c r="ALA90" s="22"/>
      <c r="ALB90" s="22"/>
      <c r="ALC90" s="22"/>
      <c r="ALD90" s="22"/>
      <c r="ALE90" s="22"/>
      <c r="ALF90" s="22"/>
      <c r="ALG90" s="22"/>
      <c r="ALH90" s="22"/>
      <c r="ALI90" s="22"/>
      <c r="ALJ90" s="22"/>
      <c r="ALK90" s="22"/>
      <c r="ALL90" s="22"/>
      <c r="ALM90" s="22"/>
      <c r="ALN90" s="22"/>
      <c r="ALO90" s="22"/>
      <c r="ALP90" s="22"/>
      <c r="ALQ90" s="22"/>
      <c r="ALR90" s="22"/>
      <c r="ALS90" s="22"/>
      <c r="ALT90" s="22"/>
      <c r="ALU90" s="22"/>
      <c r="ALV90" s="22"/>
      <c r="ALW90" s="22"/>
      <c r="ALX90" s="22"/>
      <c r="ALY90" s="22"/>
      <c r="ALZ90" s="22"/>
      <c r="AMA90" s="22"/>
      <c r="AMB90" s="22"/>
      <c r="AMC90" s="22"/>
      <c r="AMD90" s="22"/>
      <c r="AME90" s="22"/>
      <c r="AMF90" s="22"/>
      <c r="AMG90" s="22"/>
      <c r="AMH90" s="22"/>
      <c r="AMI90" s="22"/>
      <c r="AMJ90" s="22"/>
      <c r="AMK90" s="22"/>
      <c r="AML90" s="22"/>
      <c r="AMM90" s="22"/>
      <c r="AMN90" s="22"/>
      <c r="AMO90" s="22"/>
      <c r="AMP90" s="22"/>
      <c r="AMQ90" s="22"/>
      <c r="AMR90" s="22"/>
      <c r="AMS90" s="22"/>
      <c r="AMT90" s="22"/>
      <c r="AMU90" s="22"/>
      <c r="AMV90" s="22"/>
      <c r="AMW90" s="22"/>
      <c r="AMX90" s="22"/>
      <c r="AMY90" s="22"/>
      <c r="AMZ90" s="22"/>
      <c r="ANA90" s="22"/>
      <c r="ANB90" s="22"/>
      <c r="ANC90" s="22"/>
      <c r="AND90" s="22"/>
      <c r="ANE90" s="22"/>
      <c r="ANF90" s="22"/>
      <c r="ANG90" s="22"/>
      <c r="ANH90" s="22"/>
      <c r="ANI90" s="22"/>
      <c r="ANJ90" s="22"/>
      <c r="ANK90" s="22"/>
      <c r="ANL90" s="22"/>
      <c r="ANM90" s="22"/>
      <c r="ANN90" s="22"/>
      <c r="ANO90" s="22"/>
      <c r="ANP90" s="22"/>
      <c r="ANQ90" s="22"/>
      <c r="ANR90" s="22"/>
      <c r="ANS90" s="22"/>
      <c r="ANT90" s="22"/>
      <c r="ANU90" s="22"/>
      <c r="ANV90" s="22"/>
      <c r="ANW90" s="22"/>
      <c r="ANX90" s="22"/>
      <c r="ANY90" s="22"/>
      <c r="ANZ90" s="22"/>
      <c r="AOA90" s="22"/>
      <c r="AOB90" s="22"/>
      <c r="AOC90" s="22"/>
      <c r="AOD90" s="22"/>
      <c r="AOE90" s="22"/>
      <c r="AOF90" s="22"/>
      <c r="AOG90" s="22"/>
      <c r="AOH90" s="22"/>
      <c r="AOI90" s="22"/>
      <c r="AOJ90" s="22"/>
      <c r="AOK90" s="22"/>
      <c r="AOL90" s="22"/>
      <c r="AOM90" s="22"/>
      <c r="AON90" s="22"/>
      <c r="AOO90" s="22"/>
      <c r="AOP90" s="22"/>
      <c r="AOQ90" s="22"/>
      <c r="AOR90" s="22"/>
      <c r="AOS90" s="22"/>
      <c r="AOT90" s="22"/>
      <c r="AOU90" s="22"/>
      <c r="AOV90" s="22"/>
      <c r="AOW90" s="22"/>
      <c r="AOX90" s="22"/>
      <c r="AOY90" s="22"/>
      <c r="AOZ90" s="22"/>
      <c r="APA90" s="22"/>
      <c r="APB90" s="22"/>
      <c r="APC90" s="22"/>
      <c r="APD90" s="22"/>
      <c r="APE90" s="22"/>
      <c r="APF90" s="22"/>
      <c r="APG90" s="22"/>
      <c r="APH90" s="22"/>
      <c r="API90" s="22"/>
      <c r="APJ90" s="22"/>
      <c r="APK90" s="22"/>
      <c r="APL90" s="22"/>
      <c r="APM90" s="22"/>
      <c r="APN90" s="22"/>
      <c r="APO90" s="22"/>
      <c r="APP90" s="22"/>
      <c r="APQ90" s="22"/>
      <c r="APR90" s="22"/>
      <c r="APS90" s="22"/>
      <c r="APT90" s="22"/>
      <c r="APU90" s="22"/>
      <c r="APV90" s="22"/>
      <c r="APW90" s="22"/>
      <c r="APX90" s="22"/>
      <c r="APY90" s="22"/>
      <c r="APZ90" s="22"/>
      <c r="AQA90" s="22"/>
      <c r="AQB90" s="22"/>
      <c r="AQC90" s="22"/>
      <c r="AQD90" s="22"/>
      <c r="AQE90" s="22"/>
      <c r="AQF90" s="22"/>
      <c r="AQG90" s="22"/>
      <c r="AQH90" s="22"/>
      <c r="AQI90" s="22"/>
      <c r="AQJ90" s="22"/>
      <c r="AQK90" s="22"/>
      <c r="AQL90" s="22"/>
      <c r="AQM90" s="22"/>
      <c r="AQN90" s="22"/>
      <c r="AQO90" s="22"/>
      <c r="AQP90" s="22"/>
      <c r="AQQ90" s="22"/>
      <c r="AQR90" s="22"/>
      <c r="AQS90" s="22"/>
      <c r="AQT90" s="22"/>
      <c r="AQU90" s="22"/>
      <c r="AQV90" s="22"/>
      <c r="AQW90" s="22"/>
      <c r="AQX90" s="22"/>
      <c r="AQY90" s="22"/>
      <c r="AQZ90" s="22"/>
      <c r="ARA90" s="22"/>
      <c r="ARB90" s="22"/>
      <c r="ARC90" s="22"/>
      <c r="ARD90" s="22"/>
      <c r="ARE90" s="22"/>
      <c r="ARF90" s="22"/>
      <c r="ARG90" s="22"/>
      <c r="ARH90" s="22"/>
      <c r="ARI90" s="22"/>
      <c r="ARJ90" s="22"/>
      <c r="ARK90" s="22"/>
      <c r="ARL90" s="22"/>
      <c r="ARM90" s="22"/>
      <c r="ARN90" s="22"/>
      <c r="ARO90" s="22"/>
      <c r="ARP90" s="22"/>
      <c r="ARQ90" s="22"/>
      <c r="ARR90" s="22"/>
      <c r="ARS90" s="22"/>
      <c r="ART90" s="22"/>
      <c r="ARU90" s="22"/>
      <c r="ARV90" s="22"/>
      <c r="ARW90" s="22"/>
      <c r="ARX90" s="22"/>
      <c r="ARY90" s="22"/>
      <c r="ARZ90" s="22"/>
      <c r="ASA90" s="22"/>
      <c r="ASB90" s="22"/>
      <c r="ASC90" s="22"/>
      <c r="ASD90" s="22"/>
      <c r="ASE90" s="22"/>
      <c r="ASF90" s="22"/>
      <c r="ASG90" s="22"/>
      <c r="ASH90" s="22"/>
      <c r="ASI90" s="22"/>
      <c r="ASJ90" s="22"/>
      <c r="ASK90" s="22"/>
      <c r="ASL90" s="22"/>
      <c r="ASM90" s="22"/>
      <c r="ASN90" s="22"/>
      <c r="ASO90" s="22"/>
      <c r="ASP90" s="22"/>
      <c r="ASQ90" s="22"/>
      <c r="ASR90" s="22"/>
      <c r="ASS90" s="22"/>
      <c r="AST90" s="22"/>
      <c r="ASU90" s="22"/>
      <c r="ASV90" s="22"/>
      <c r="ASW90" s="22"/>
      <c r="ASX90" s="22"/>
      <c r="ASY90" s="22"/>
      <c r="ASZ90" s="22"/>
      <c r="ATA90" s="22"/>
      <c r="ATB90" s="22"/>
      <c r="ATC90" s="22"/>
      <c r="ATD90" s="22"/>
      <c r="ATE90" s="22"/>
      <c r="ATF90" s="22"/>
      <c r="ATG90" s="22"/>
      <c r="ATH90" s="22"/>
      <c r="ATI90" s="22"/>
      <c r="ATJ90" s="22"/>
      <c r="ATK90" s="22"/>
      <c r="ATL90" s="22"/>
      <c r="ATM90" s="22"/>
      <c r="ATN90" s="22"/>
      <c r="ATO90" s="22"/>
      <c r="ATP90" s="22"/>
      <c r="ATQ90" s="22"/>
      <c r="ATR90" s="22"/>
      <c r="ATS90" s="22"/>
      <c r="ATT90" s="22"/>
      <c r="ATU90" s="22"/>
      <c r="ATV90" s="22"/>
      <c r="ATW90" s="22"/>
      <c r="ATX90" s="22"/>
      <c r="ATY90" s="22"/>
      <c r="ATZ90" s="22"/>
      <c r="AUA90" s="22"/>
      <c r="AUB90" s="22"/>
      <c r="AUC90" s="22"/>
      <c r="AUD90" s="22"/>
      <c r="AUE90" s="22"/>
      <c r="AUF90" s="22"/>
      <c r="AUG90" s="22"/>
      <c r="AUH90" s="22"/>
      <c r="AUI90" s="22"/>
      <c r="AUJ90" s="22"/>
      <c r="AUK90" s="22"/>
      <c r="AUL90" s="22"/>
      <c r="AUM90" s="22"/>
      <c r="AUN90" s="22"/>
      <c r="AUO90" s="22"/>
      <c r="AUP90" s="22"/>
      <c r="AUQ90" s="22"/>
      <c r="AUR90" s="22"/>
      <c r="AUS90" s="22"/>
      <c r="AUT90" s="22"/>
      <c r="AUU90" s="22"/>
      <c r="AUV90" s="22"/>
      <c r="AUW90" s="22"/>
      <c r="AUX90" s="22"/>
      <c r="AUY90" s="22"/>
      <c r="AUZ90" s="22"/>
      <c r="AVA90" s="22"/>
      <c r="AVB90" s="22"/>
      <c r="AVC90" s="22"/>
      <c r="AVD90" s="22"/>
      <c r="AVE90" s="22"/>
      <c r="AVF90" s="22"/>
      <c r="AVG90" s="22"/>
      <c r="AVH90" s="22"/>
      <c r="AVI90" s="22"/>
      <c r="AVJ90" s="22"/>
      <c r="AVK90" s="22"/>
      <c r="AVL90" s="22"/>
      <c r="AVM90" s="22"/>
      <c r="AVN90" s="22"/>
      <c r="AVO90" s="22"/>
      <c r="AVP90" s="22"/>
      <c r="AVQ90" s="22"/>
      <c r="AVR90" s="22"/>
      <c r="AVS90" s="22"/>
      <c r="AVT90" s="22"/>
      <c r="AVU90" s="22"/>
      <c r="AVV90" s="22"/>
      <c r="AVW90" s="22"/>
      <c r="AVX90" s="22"/>
      <c r="AVY90" s="22"/>
      <c r="AVZ90" s="22"/>
      <c r="AWA90" s="22"/>
      <c r="AWB90" s="22"/>
      <c r="AWC90" s="22"/>
      <c r="AWD90" s="22"/>
      <c r="AWE90" s="22"/>
      <c r="AWF90" s="22"/>
      <c r="AWG90" s="22"/>
      <c r="AWH90" s="22"/>
      <c r="AWI90" s="22"/>
      <c r="AWJ90" s="22"/>
      <c r="AWK90" s="22"/>
      <c r="AWL90" s="22"/>
      <c r="AWM90" s="22"/>
      <c r="AWN90" s="22"/>
      <c r="AWO90" s="22"/>
      <c r="AWP90" s="22"/>
      <c r="AWQ90" s="22"/>
      <c r="AWR90" s="22"/>
      <c r="AWS90" s="22"/>
      <c r="AWT90" s="22"/>
      <c r="AWU90" s="22"/>
      <c r="AWV90" s="22"/>
      <c r="AWW90" s="22"/>
      <c r="AWX90" s="22"/>
      <c r="AWY90" s="22"/>
      <c r="AWZ90" s="22"/>
      <c r="AXA90" s="22"/>
      <c r="AXB90" s="22"/>
      <c r="AXC90" s="22"/>
      <c r="AXD90" s="22"/>
      <c r="AXE90" s="22"/>
      <c r="AXF90" s="22"/>
      <c r="AXG90" s="22"/>
      <c r="AXH90" s="22"/>
      <c r="AXI90" s="22"/>
      <c r="AXJ90" s="22"/>
      <c r="AXK90" s="22"/>
      <c r="AXL90" s="22"/>
      <c r="AXM90" s="22"/>
      <c r="AXN90" s="22"/>
      <c r="AXO90" s="22"/>
      <c r="AXP90" s="22"/>
      <c r="AXQ90" s="22"/>
      <c r="AXR90" s="22"/>
      <c r="AXS90" s="22"/>
      <c r="AXT90" s="22"/>
      <c r="AXU90" s="22"/>
      <c r="AXV90" s="22"/>
      <c r="AXW90" s="22"/>
      <c r="AXX90" s="22"/>
      <c r="AXY90" s="22"/>
      <c r="AXZ90" s="22"/>
      <c r="AYA90" s="22"/>
      <c r="AYB90" s="22"/>
      <c r="AYC90" s="22"/>
      <c r="AYD90" s="22"/>
      <c r="AYE90" s="22"/>
      <c r="AYF90" s="22"/>
      <c r="AYG90" s="22"/>
      <c r="AYH90" s="22"/>
      <c r="AYI90" s="22"/>
      <c r="AYJ90" s="22"/>
      <c r="AYK90" s="22"/>
      <c r="AYL90" s="22"/>
      <c r="AYM90" s="22"/>
      <c r="AYN90" s="22"/>
      <c r="AYO90" s="22"/>
      <c r="AYP90" s="22"/>
      <c r="AYQ90" s="22"/>
      <c r="AYR90" s="22"/>
      <c r="AYS90" s="22"/>
      <c r="AYT90" s="22"/>
      <c r="AYU90" s="22"/>
      <c r="AYV90" s="22"/>
      <c r="AYW90" s="22"/>
      <c r="AYX90" s="22"/>
      <c r="AYY90" s="22"/>
      <c r="AYZ90" s="22"/>
      <c r="AZA90" s="22"/>
      <c r="AZB90" s="22"/>
      <c r="AZC90" s="22"/>
      <c r="AZD90" s="22"/>
      <c r="AZE90" s="22"/>
      <c r="AZF90" s="22"/>
      <c r="AZG90" s="22"/>
      <c r="AZH90" s="22"/>
      <c r="AZI90" s="22"/>
      <c r="AZJ90" s="22"/>
      <c r="AZK90" s="22"/>
      <c r="AZL90" s="22"/>
      <c r="AZM90" s="22"/>
      <c r="AZN90" s="22"/>
      <c r="AZO90" s="22"/>
      <c r="AZP90" s="22"/>
      <c r="AZQ90" s="22"/>
      <c r="AZR90" s="22"/>
      <c r="AZS90" s="22"/>
      <c r="AZT90" s="22"/>
      <c r="AZU90" s="22"/>
      <c r="AZV90" s="22"/>
      <c r="AZW90" s="22"/>
      <c r="AZX90" s="22"/>
      <c r="AZY90" s="22"/>
      <c r="AZZ90" s="22"/>
      <c r="BAA90" s="22"/>
      <c r="BAB90" s="22"/>
      <c r="BAC90" s="22"/>
      <c r="BAD90" s="22"/>
      <c r="BAE90" s="22"/>
      <c r="BAF90" s="22"/>
      <c r="BAG90" s="22"/>
      <c r="BAH90" s="22"/>
      <c r="BAI90" s="22"/>
      <c r="BAJ90" s="22"/>
      <c r="BAK90" s="22"/>
      <c r="BAL90" s="22"/>
      <c r="BAM90" s="22"/>
      <c r="BAN90" s="22"/>
      <c r="BAO90" s="22"/>
      <c r="BAP90" s="22"/>
      <c r="BAQ90" s="22"/>
      <c r="BAR90" s="22"/>
      <c r="BAS90" s="22"/>
      <c r="BAT90" s="22"/>
      <c r="BAU90" s="22"/>
      <c r="BAV90" s="22"/>
      <c r="BAW90" s="22"/>
      <c r="BAX90" s="22"/>
      <c r="BAY90" s="22"/>
      <c r="BAZ90" s="22"/>
      <c r="BBA90" s="22"/>
      <c r="BBB90" s="22"/>
      <c r="BBC90" s="22"/>
      <c r="BBD90" s="22"/>
      <c r="BBE90" s="22"/>
      <c r="BBF90" s="22"/>
      <c r="BBG90" s="22"/>
      <c r="BBH90" s="22"/>
      <c r="BBI90" s="22"/>
      <c r="BBJ90" s="22"/>
      <c r="BBK90" s="22"/>
      <c r="BBL90" s="22"/>
      <c r="BBM90" s="22"/>
      <c r="BBN90" s="22"/>
      <c r="BBO90" s="22"/>
      <c r="BBP90" s="22"/>
      <c r="BBQ90" s="22"/>
      <c r="BBR90" s="22"/>
      <c r="BBS90" s="22"/>
      <c r="BBT90" s="22"/>
      <c r="BBU90" s="22"/>
      <c r="BBV90" s="22"/>
      <c r="BBW90" s="22"/>
      <c r="BBX90" s="22"/>
      <c r="BBY90" s="22"/>
      <c r="BBZ90" s="22"/>
      <c r="BCA90" s="22"/>
      <c r="BCB90" s="22"/>
      <c r="BCC90" s="22"/>
      <c r="BCD90" s="22"/>
      <c r="BCE90" s="22"/>
      <c r="BCF90" s="22"/>
      <c r="BCG90" s="22"/>
      <c r="BCH90" s="22"/>
      <c r="BCI90" s="22"/>
      <c r="BCJ90" s="22"/>
      <c r="BCK90" s="22"/>
      <c r="BCL90" s="22"/>
      <c r="BCM90" s="22"/>
      <c r="BCN90" s="22"/>
      <c r="BCO90" s="22"/>
      <c r="BCP90" s="22"/>
      <c r="BCQ90" s="22"/>
      <c r="BCR90" s="22"/>
      <c r="BCS90" s="22"/>
      <c r="BCT90" s="22"/>
      <c r="BCU90" s="22"/>
      <c r="BCV90" s="22"/>
      <c r="BCW90" s="22"/>
      <c r="BCX90" s="22"/>
      <c r="BCY90" s="22"/>
      <c r="BCZ90" s="22"/>
      <c r="BDA90" s="22"/>
      <c r="BDB90" s="22"/>
      <c r="BDC90" s="22"/>
      <c r="BDD90" s="22"/>
      <c r="BDE90" s="22"/>
      <c r="BDF90" s="22"/>
      <c r="BDG90" s="22"/>
      <c r="BDH90" s="22"/>
      <c r="BDI90" s="22"/>
      <c r="BDJ90" s="22"/>
      <c r="BDK90" s="22"/>
      <c r="BDL90" s="22"/>
      <c r="BDM90" s="22"/>
      <c r="BDN90" s="22"/>
      <c r="BDO90" s="22"/>
      <c r="BDP90" s="22"/>
      <c r="BDQ90" s="22"/>
      <c r="BDR90" s="22"/>
      <c r="BDS90" s="22"/>
      <c r="BDT90" s="22"/>
      <c r="BDU90" s="22"/>
      <c r="BDV90" s="22"/>
      <c r="BDW90" s="22"/>
      <c r="BDX90" s="22"/>
      <c r="BDY90" s="22"/>
      <c r="BDZ90" s="22"/>
      <c r="BEA90" s="22"/>
      <c r="BEB90" s="22"/>
      <c r="BEC90" s="22"/>
      <c r="BED90" s="22"/>
      <c r="BEE90" s="22"/>
      <c r="BEF90" s="22"/>
      <c r="BEG90" s="22"/>
      <c r="BEH90" s="22"/>
      <c r="BEI90" s="22"/>
      <c r="BEJ90" s="22"/>
      <c r="BEK90" s="22"/>
      <c r="BEL90" s="22"/>
      <c r="BEM90" s="22"/>
      <c r="BEN90" s="22"/>
      <c r="BEO90" s="22"/>
      <c r="BEP90" s="22"/>
      <c r="BEQ90" s="22"/>
      <c r="BER90" s="22"/>
      <c r="BES90" s="22"/>
      <c r="BET90" s="22"/>
      <c r="BEU90" s="22"/>
      <c r="BEV90" s="22"/>
      <c r="BEW90" s="22"/>
      <c r="BEX90" s="22"/>
      <c r="BEY90" s="22"/>
      <c r="BEZ90" s="22"/>
      <c r="BFA90" s="22"/>
      <c r="BFB90" s="22"/>
      <c r="BFC90" s="22"/>
      <c r="BFD90" s="22"/>
      <c r="BFE90" s="22"/>
      <c r="BFF90" s="22"/>
      <c r="BFG90" s="22"/>
      <c r="BFH90" s="22"/>
      <c r="BFI90" s="22"/>
      <c r="BFJ90" s="22"/>
      <c r="BFK90" s="22"/>
      <c r="BFL90" s="22"/>
      <c r="BFM90" s="22"/>
      <c r="BFN90" s="22"/>
      <c r="BFO90" s="22"/>
      <c r="BFP90" s="22"/>
      <c r="BFQ90" s="22"/>
      <c r="BFR90" s="22"/>
      <c r="BFS90" s="22"/>
      <c r="BFT90" s="22"/>
      <c r="BFU90" s="22"/>
      <c r="BFV90" s="22"/>
      <c r="BFW90" s="22"/>
    </row>
    <row r="91" spans="1:1531" s="208" customFormat="1" ht="46.15" customHeight="1" x14ac:dyDescent="0.2">
      <c r="A91" s="305" t="s">
        <v>528</v>
      </c>
      <c r="B91" s="286"/>
      <c r="C91" s="122" t="s">
        <v>558</v>
      </c>
      <c r="D91" s="286"/>
      <c r="E91" s="286" t="s">
        <v>869</v>
      </c>
      <c r="F91" s="286"/>
      <c r="G91" s="286" t="s">
        <v>536</v>
      </c>
      <c r="H91" s="174"/>
      <c r="I91" s="281">
        <v>595</v>
      </c>
      <c r="J91" s="176"/>
      <c r="K91" s="122" t="s">
        <v>117</v>
      </c>
      <c r="L91" s="176"/>
      <c r="M91" s="176"/>
      <c r="N91" s="176"/>
      <c r="O91" s="176">
        <v>2015</v>
      </c>
      <c r="P91" s="162" t="s">
        <v>750</v>
      </c>
      <c r="Q91" s="176"/>
      <c r="R91" s="176"/>
      <c r="S91" s="282"/>
      <c r="T91" s="176"/>
      <c r="U91" s="176"/>
      <c r="V91" s="176"/>
      <c r="W91" s="176"/>
      <c r="X91" s="176"/>
      <c r="Y91" s="283"/>
      <c r="Z91" s="176"/>
      <c r="AA91" s="282"/>
      <c r="AB91" s="176"/>
      <c r="AC91" s="176"/>
      <c r="AD91" s="176"/>
      <c r="AE91" s="176"/>
      <c r="AF91" s="176"/>
      <c r="AG91" s="176"/>
      <c r="AH91" s="176"/>
      <c r="AI91" s="176"/>
      <c r="AJ91" s="176"/>
      <c r="AK91" s="176"/>
      <c r="AL91" s="176">
        <v>26</v>
      </c>
      <c r="AM91" s="176"/>
      <c r="AN91" s="284">
        <v>15470</v>
      </c>
      <c r="AU91" s="285" t="s">
        <v>797</v>
      </c>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c r="IW91" s="22"/>
      <c r="IX91" s="22"/>
      <c r="IY91" s="22"/>
      <c r="IZ91" s="22"/>
      <c r="JA91" s="22"/>
      <c r="JB91" s="22"/>
      <c r="JC91" s="22"/>
      <c r="JD91" s="22"/>
      <c r="JE91" s="22"/>
      <c r="JF91" s="22"/>
      <c r="JG91" s="22"/>
      <c r="JH91" s="22"/>
      <c r="JI91" s="22"/>
      <c r="JJ91" s="22"/>
      <c r="JK91" s="22"/>
      <c r="JL91" s="22"/>
      <c r="JM91" s="22"/>
      <c r="JN91" s="22"/>
      <c r="JO91" s="22"/>
      <c r="JP91" s="22"/>
      <c r="JQ91" s="22"/>
      <c r="JR91" s="22"/>
      <c r="JS91" s="22"/>
      <c r="JT91" s="22"/>
      <c r="JU91" s="22"/>
      <c r="JV91" s="22"/>
      <c r="JW91" s="22"/>
      <c r="JX91" s="22"/>
      <c r="JY91" s="22"/>
      <c r="JZ91" s="22"/>
      <c r="KA91" s="22"/>
      <c r="KB91" s="22"/>
      <c r="KC91" s="22"/>
      <c r="KD91" s="22"/>
      <c r="KE91" s="22"/>
      <c r="KF91" s="22"/>
      <c r="KG91" s="22"/>
      <c r="KH91" s="22"/>
      <c r="KI91" s="22"/>
      <c r="KJ91" s="22"/>
      <c r="KK91" s="22"/>
      <c r="KL91" s="22"/>
      <c r="KM91" s="22"/>
      <c r="KN91" s="22"/>
      <c r="KO91" s="22"/>
      <c r="KP91" s="22"/>
      <c r="KQ91" s="22"/>
      <c r="KR91" s="22"/>
      <c r="KS91" s="22"/>
      <c r="KT91" s="22"/>
      <c r="KU91" s="22"/>
      <c r="KV91" s="22"/>
      <c r="KW91" s="22"/>
      <c r="KX91" s="22"/>
      <c r="KY91" s="22"/>
      <c r="KZ91" s="22"/>
      <c r="LA91" s="22"/>
      <c r="LB91" s="22"/>
      <c r="LC91" s="22"/>
      <c r="LD91" s="22"/>
      <c r="LE91" s="22"/>
      <c r="LF91" s="22"/>
      <c r="LG91" s="22"/>
      <c r="LH91" s="22"/>
      <c r="LI91" s="22"/>
      <c r="LJ91" s="22"/>
      <c r="LK91" s="22"/>
      <c r="LL91" s="22"/>
      <c r="LM91" s="22"/>
      <c r="LN91" s="22"/>
      <c r="LO91" s="22"/>
      <c r="LP91" s="22"/>
      <c r="LQ91" s="22"/>
      <c r="LR91" s="22"/>
      <c r="LS91" s="22"/>
      <c r="LT91" s="22"/>
      <c r="LU91" s="22"/>
      <c r="LV91" s="22"/>
      <c r="LW91" s="22"/>
      <c r="LX91" s="22"/>
      <c r="LY91" s="22"/>
      <c r="LZ91" s="22"/>
      <c r="MA91" s="22"/>
      <c r="MB91" s="22"/>
      <c r="MC91" s="22"/>
      <c r="MD91" s="22"/>
      <c r="ME91" s="22"/>
      <c r="MF91" s="22"/>
      <c r="MG91" s="22"/>
      <c r="MH91" s="22"/>
      <c r="MI91" s="22"/>
      <c r="MJ91" s="22"/>
      <c r="MK91" s="22"/>
      <c r="ML91" s="22"/>
      <c r="MM91" s="22"/>
      <c r="MN91" s="22"/>
      <c r="MO91" s="22"/>
      <c r="MP91" s="22"/>
      <c r="MQ91" s="22"/>
      <c r="MR91" s="22"/>
      <c r="MS91" s="22"/>
      <c r="MT91" s="22"/>
      <c r="MU91" s="22"/>
      <c r="MV91" s="22"/>
      <c r="MW91" s="22"/>
      <c r="MX91" s="22"/>
      <c r="MY91" s="22"/>
      <c r="MZ91" s="22"/>
      <c r="NA91" s="22"/>
      <c r="NB91" s="22"/>
      <c r="NC91" s="22"/>
      <c r="ND91" s="22"/>
      <c r="NE91" s="22"/>
      <c r="NF91" s="22"/>
      <c r="NG91" s="22"/>
      <c r="NH91" s="22"/>
      <c r="NI91" s="22"/>
      <c r="NJ91" s="22"/>
      <c r="NK91" s="22"/>
      <c r="NL91" s="22"/>
      <c r="NM91" s="22"/>
      <c r="NN91" s="22"/>
      <c r="NO91" s="22"/>
      <c r="NP91" s="22"/>
      <c r="NQ91" s="22"/>
      <c r="NR91" s="22"/>
      <c r="NS91" s="22"/>
      <c r="NT91" s="22"/>
      <c r="NU91" s="22"/>
      <c r="NV91" s="22"/>
      <c r="NW91" s="22"/>
      <c r="NX91" s="22"/>
      <c r="NY91" s="22"/>
      <c r="NZ91" s="22"/>
      <c r="OA91" s="22"/>
      <c r="OB91" s="22"/>
      <c r="OC91" s="22"/>
      <c r="OD91" s="22"/>
      <c r="OE91" s="22"/>
      <c r="OF91" s="22"/>
      <c r="OG91" s="22"/>
      <c r="OH91" s="22"/>
      <c r="OI91" s="22"/>
      <c r="OJ91" s="22"/>
      <c r="OK91" s="22"/>
      <c r="OL91" s="22"/>
      <c r="OM91" s="22"/>
      <c r="ON91" s="22"/>
      <c r="OO91" s="22"/>
      <c r="OP91" s="22"/>
      <c r="OQ91" s="22"/>
      <c r="OR91" s="22"/>
      <c r="OS91" s="22"/>
      <c r="OT91" s="22"/>
      <c r="OU91" s="22"/>
      <c r="OV91" s="22"/>
      <c r="OW91" s="22"/>
      <c r="OX91" s="22"/>
      <c r="OY91" s="22"/>
      <c r="OZ91" s="22"/>
      <c r="PA91" s="22"/>
      <c r="PB91" s="22"/>
      <c r="PC91" s="22"/>
      <c r="PD91" s="22"/>
      <c r="PE91" s="22"/>
      <c r="PF91" s="22"/>
      <c r="PG91" s="22"/>
      <c r="PH91" s="22"/>
      <c r="PI91" s="22"/>
      <c r="PJ91" s="22"/>
      <c r="PK91" s="22"/>
      <c r="PL91" s="22"/>
      <c r="PM91" s="22"/>
      <c r="PN91" s="22"/>
      <c r="PO91" s="22"/>
      <c r="PP91" s="22"/>
      <c r="PQ91" s="22"/>
      <c r="PR91" s="22"/>
      <c r="PS91" s="22"/>
      <c r="PT91" s="22"/>
      <c r="PU91" s="22"/>
      <c r="PV91" s="22"/>
      <c r="PW91" s="22"/>
      <c r="PX91" s="22"/>
      <c r="PY91" s="22"/>
      <c r="PZ91" s="22"/>
      <c r="QA91" s="22"/>
      <c r="QB91" s="22"/>
      <c r="QC91" s="22"/>
      <c r="QD91" s="22"/>
      <c r="QE91" s="22"/>
      <c r="QF91" s="22"/>
      <c r="QG91" s="22"/>
      <c r="QH91" s="22"/>
      <c r="QI91" s="22"/>
      <c r="QJ91" s="22"/>
      <c r="QK91" s="22"/>
      <c r="QL91" s="22"/>
      <c r="QM91" s="22"/>
      <c r="QN91" s="22"/>
      <c r="QO91" s="22"/>
      <c r="QP91" s="22"/>
      <c r="QQ91" s="22"/>
      <c r="QR91" s="22"/>
      <c r="QS91" s="22"/>
      <c r="QT91" s="22"/>
      <c r="QU91" s="22"/>
      <c r="QV91" s="22"/>
      <c r="QW91" s="22"/>
      <c r="QX91" s="22"/>
      <c r="QY91" s="22"/>
      <c r="QZ91" s="22"/>
      <c r="RA91" s="22"/>
      <c r="RB91" s="22"/>
      <c r="RC91" s="22"/>
      <c r="RD91" s="22"/>
      <c r="RE91" s="22"/>
      <c r="RF91" s="22"/>
      <c r="RG91" s="22"/>
      <c r="RH91" s="22"/>
      <c r="RI91" s="22"/>
      <c r="RJ91" s="22"/>
      <c r="RK91" s="22"/>
      <c r="RL91" s="22"/>
      <c r="RM91" s="22"/>
      <c r="RN91" s="22"/>
      <c r="RO91" s="22"/>
      <c r="RP91" s="22"/>
      <c r="RQ91" s="22"/>
      <c r="RR91" s="22"/>
      <c r="RS91" s="22"/>
      <c r="RT91" s="22"/>
      <c r="RU91" s="22"/>
      <c r="RV91" s="22"/>
      <c r="RW91" s="22"/>
      <c r="RX91" s="22"/>
      <c r="RY91" s="22"/>
      <c r="RZ91" s="22"/>
      <c r="SA91" s="22"/>
      <c r="SB91" s="22"/>
      <c r="SC91" s="22"/>
      <c r="SD91" s="22"/>
      <c r="SE91" s="22"/>
      <c r="SF91" s="22"/>
      <c r="SG91" s="22"/>
      <c r="SH91" s="22"/>
      <c r="SI91" s="22"/>
      <c r="SJ91" s="22"/>
      <c r="SK91" s="22"/>
      <c r="SL91" s="22"/>
      <c r="SM91" s="22"/>
      <c r="SN91" s="22"/>
      <c r="SO91" s="22"/>
      <c r="SP91" s="22"/>
      <c r="SQ91" s="22"/>
      <c r="SR91" s="22"/>
      <c r="SS91" s="22"/>
      <c r="ST91" s="22"/>
      <c r="SU91" s="22"/>
      <c r="SV91" s="22"/>
      <c r="SW91" s="22"/>
      <c r="SX91" s="22"/>
      <c r="SY91" s="22"/>
      <c r="SZ91" s="22"/>
      <c r="TA91" s="22"/>
      <c r="TB91" s="22"/>
      <c r="TC91" s="22"/>
      <c r="TD91" s="22"/>
      <c r="TE91" s="22"/>
      <c r="TF91" s="22"/>
      <c r="TG91" s="22"/>
      <c r="TH91" s="22"/>
      <c r="TI91" s="22"/>
      <c r="TJ91" s="22"/>
      <c r="TK91" s="22"/>
      <c r="TL91" s="22"/>
      <c r="TM91" s="22"/>
      <c r="TN91" s="22"/>
      <c r="TO91" s="22"/>
      <c r="TP91" s="22"/>
      <c r="TQ91" s="22"/>
      <c r="TR91" s="22"/>
      <c r="TS91" s="22"/>
      <c r="TT91" s="22"/>
      <c r="TU91" s="22"/>
      <c r="TV91" s="22"/>
      <c r="TW91" s="22"/>
      <c r="TX91" s="22"/>
      <c r="TY91" s="22"/>
      <c r="TZ91" s="22"/>
      <c r="UA91" s="22"/>
      <c r="UB91" s="22"/>
      <c r="UC91" s="22"/>
      <c r="UD91" s="22"/>
      <c r="UE91" s="22"/>
      <c r="UF91" s="22"/>
      <c r="UG91" s="22"/>
      <c r="UH91" s="22"/>
      <c r="UI91" s="22"/>
      <c r="UJ91" s="22"/>
      <c r="UK91" s="22"/>
      <c r="UL91" s="22"/>
      <c r="UM91" s="22"/>
      <c r="UN91" s="22"/>
      <c r="UO91" s="22"/>
      <c r="UP91" s="22"/>
      <c r="UQ91" s="22"/>
      <c r="UR91" s="22"/>
      <c r="US91" s="22"/>
      <c r="UT91" s="22"/>
      <c r="UU91" s="22"/>
      <c r="UV91" s="22"/>
      <c r="UW91" s="22"/>
      <c r="UX91" s="22"/>
      <c r="UY91" s="22"/>
      <c r="UZ91" s="22"/>
      <c r="VA91" s="22"/>
      <c r="VB91" s="22"/>
      <c r="VC91" s="22"/>
      <c r="VD91" s="22"/>
      <c r="VE91" s="22"/>
      <c r="VF91" s="22"/>
      <c r="VG91" s="22"/>
      <c r="VH91" s="22"/>
      <c r="VI91" s="22"/>
      <c r="VJ91" s="22"/>
      <c r="VK91" s="22"/>
      <c r="VL91" s="22"/>
      <c r="VM91" s="22"/>
      <c r="VN91" s="22"/>
      <c r="VO91" s="22"/>
      <c r="VP91" s="22"/>
      <c r="VQ91" s="22"/>
      <c r="VR91" s="22"/>
      <c r="VS91" s="22"/>
      <c r="VT91" s="22"/>
      <c r="VU91" s="22"/>
      <c r="VV91" s="22"/>
      <c r="VW91" s="22"/>
      <c r="VX91" s="22"/>
      <c r="VY91" s="22"/>
      <c r="VZ91" s="22"/>
      <c r="WA91" s="22"/>
      <c r="WB91" s="22"/>
      <c r="WC91" s="22"/>
      <c r="WD91" s="22"/>
      <c r="WE91" s="22"/>
      <c r="WF91" s="22"/>
      <c r="WG91" s="22"/>
      <c r="WH91" s="22"/>
      <c r="WI91" s="22"/>
      <c r="WJ91" s="22"/>
      <c r="WK91" s="22"/>
      <c r="WL91" s="22"/>
      <c r="WM91" s="22"/>
      <c r="WN91" s="22"/>
      <c r="WO91" s="22"/>
      <c r="WP91" s="22"/>
      <c r="WQ91" s="22"/>
      <c r="WR91" s="22"/>
      <c r="WS91" s="22"/>
      <c r="WT91" s="22"/>
      <c r="WU91" s="22"/>
      <c r="WV91" s="22"/>
      <c r="WW91" s="22"/>
      <c r="WX91" s="22"/>
      <c r="WY91" s="22"/>
      <c r="WZ91" s="22"/>
      <c r="XA91" s="22"/>
      <c r="XB91" s="22"/>
      <c r="XC91" s="22"/>
      <c r="XD91" s="22"/>
      <c r="XE91" s="22"/>
      <c r="XF91" s="22"/>
      <c r="XG91" s="22"/>
      <c r="XH91" s="22"/>
      <c r="XI91" s="22"/>
      <c r="XJ91" s="22"/>
      <c r="XK91" s="22"/>
      <c r="XL91" s="22"/>
      <c r="XM91" s="22"/>
      <c r="XN91" s="22"/>
      <c r="XO91" s="22"/>
      <c r="XP91" s="22"/>
      <c r="XQ91" s="22"/>
      <c r="XR91" s="22"/>
      <c r="XS91" s="22"/>
      <c r="XT91" s="22"/>
      <c r="XU91" s="22"/>
      <c r="XV91" s="22"/>
      <c r="XW91" s="22"/>
      <c r="XX91" s="22"/>
      <c r="XY91" s="22"/>
      <c r="XZ91" s="22"/>
      <c r="YA91" s="22"/>
      <c r="YB91" s="22"/>
      <c r="YC91" s="22"/>
      <c r="YD91" s="22"/>
      <c r="YE91" s="22"/>
      <c r="YF91" s="22"/>
      <c r="YG91" s="22"/>
      <c r="YH91" s="22"/>
      <c r="YI91" s="22"/>
      <c r="YJ91" s="22"/>
      <c r="YK91" s="22"/>
      <c r="YL91" s="22"/>
      <c r="YM91" s="22"/>
      <c r="YN91" s="22"/>
      <c r="YO91" s="22"/>
      <c r="YP91" s="22"/>
      <c r="YQ91" s="22"/>
      <c r="YR91" s="22"/>
      <c r="YS91" s="22"/>
      <c r="YT91" s="22"/>
      <c r="YU91" s="22"/>
      <c r="YV91" s="22"/>
      <c r="YW91" s="22"/>
      <c r="YX91" s="22"/>
      <c r="YY91" s="22"/>
      <c r="YZ91" s="22"/>
      <c r="ZA91" s="22"/>
      <c r="ZB91" s="22"/>
      <c r="ZC91" s="22"/>
      <c r="ZD91" s="22"/>
      <c r="ZE91" s="22"/>
      <c r="ZF91" s="22"/>
      <c r="ZG91" s="22"/>
      <c r="ZH91" s="22"/>
      <c r="ZI91" s="22"/>
      <c r="ZJ91" s="22"/>
      <c r="ZK91" s="22"/>
      <c r="ZL91" s="22"/>
      <c r="ZM91" s="22"/>
      <c r="ZN91" s="22"/>
      <c r="ZO91" s="22"/>
      <c r="ZP91" s="22"/>
      <c r="ZQ91" s="22"/>
      <c r="ZR91" s="22"/>
      <c r="ZS91" s="22"/>
      <c r="ZT91" s="22"/>
      <c r="ZU91" s="22"/>
      <c r="ZV91" s="22"/>
      <c r="ZW91" s="22"/>
      <c r="ZX91" s="22"/>
      <c r="ZY91" s="22"/>
      <c r="ZZ91" s="22"/>
      <c r="AAA91" s="22"/>
      <c r="AAB91" s="22"/>
      <c r="AAC91" s="22"/>
      <c r="AAD91" s="22"/>
      <c r="AAE91" s="22"/>
      <c r="AAF91" s="22"/>
      <c r="AAG91" s="22"/>
      <c r="AAH91" s="22"/>
      <c r="AAI91" s="22"/>
      <c r="AAJ91" s="22"/>
      <c r="AAK91" s="22"/>
      <c r="AAL91" s="22"/>
      <c r="AAM91" s="22"/>
      <c r="AAN91" s="22"/>
      <c r="AAO91" s="22"/>
      <c r="AAP91" s="22"/>
      <c r="AAQ91" s="22"/>
      <c r="AAR91" s="22"/>
      <c r="AAS91" s="22"/>
      <c r="AAT91" s="22"/>
      <c r="AAU91" s="22"/>
      <c r="AAV91" s="22"/>
      <c r="AAW91" s="22"/>
      <c r="AAX91" s="22"/>
      <c r="AAY91" s="22"/>
      <c r="AAZ91" s="22"/>
      <c r="ABA91" s="22"/>
      <c r="ABB91" s="22"/>
      <c r="ABC91" s="22"/>
      <c r="ABD91" s="22"/>
      <c r="ABE91" s="22"/>
      <c r="ABF91" s="22"/>
      <c r="ABG91" s="22"/>
      <c r="ABH91" s="22"/>
      <c r="ABI91" s="22"/>
      <c r="ABJ91" s="22"/>
      <c r="ABK91" s="22"/>
      <c r="ABL91" s="22"/>
      <c r="ABM91" s="22"/>
      <c r="ABN91" s="22"/>
      <c r="ABO91" s="22"/>
      <c r="ABP91" s="22"/>
      <c r="ABQ91" s="22"/>
      <c r="ABR91" s="22"/>
      <c r="ABS91" s="22"/>
      <c r="ABT91" s="22"/>
      <c r="ABU91" s="22"/>
      <c r="ABV91" s="22"/>
      <c r="ABW91" s="22"/>
      <c r="ABX91" s="22"/>
      <c r="ABY91" s="22"/>
      <c r="ABZ91" s="22"/>
      <c r="ACA91" s="22"/>
      <c r="ACB91" s="22"/>
      <c r="ACC91" s="22"/>
      <c r="ACD91" s="22"/>
      <c r="ACE91" s="22"/>
      <c r="ACF91" s="22"/>
      <c r="ACG91" s="22"/>
      <c r="ACH91" s="22"/>
      <c r="ACI91" s="22"/>
      <c r="ACJ91" s="22"/>
      <c r="ACK91" s="22"/>
      <c r="ACL91" s="22"/>
      <c r="ACM91" s="22"/>
      <c r="ACN91" s="22"/>
      <c r="ACO91" s="22"/>
      <c r="ACP91" s="22"/>
      <c r="ACQ91" s="22"/>
      <c r="ACR91" s="22"/>
      <c r="ACS91" s="22"/>
      <c r="ACT91" s="22"/>
      <c r="ACU91" s="22"/>
      <c r="ACV91" s="22"/>
      <c r="ACW91" s="22"/>
      <c r="ACX91" s="22"/>
      <c r="ACY91" s="22"/>
      <c r="ACZ91" s="22"/>
      <c r="ADA91" s="22"/>
      <c r="ADB91" s="22"/>
      <c r="ADC91" s="22"/>
      <c r="ADD91" s="22"/>
      <c r="ADE91" s="22"/>
      <c r="ADF91" s="22"/>
      <c r="ADG91" s="22"/>
      <c r="ADH91" s="22"/>
      <c r="ADI91" s="22"/>
      <c r="ADJ91" s="22"/>
      <c r="ADK91" s="22"/>
      <c r="ADL91" s="22"/>
      <c r="ADM91" s="22"/>
      <c r="ADN91" s="22"/>
      <c r="ADO91" s="22"/>
      <c r="ADP91" s="22"/>
      <c r="ADQ91" s="22"/>
      <c r="ADR91" s="22"/>
      <c r="ADS91" s="22"/>
      <c r="ADT91" s="22"/>
      <c r="ADU91" s="22"/>
      <c r="ADV91" s="22"/>
      <c r="ADW91" s="22"/>
      <c r="ADX91" s="22"/>
      <c r="ADY91" s="22"/>
      <c r="ADZ91" s="22"/>
      <c r="AEA91" s="22"/>
      <c r="AEB91" s="22"/>
      <c r="AEC91" s="22"/>
      <c r="AED91" s="22"/>
      <c r="AEE91" s="22"/>
      <c r="AEF91" s="22"/>
      <c r="AEG91" s="22"/>
      <c r="AEH91" s="22"/>
      <c r="AEI91" s="22"/>
      <c r="AEJ91" s="22"/>
      <c r="AEK91" s="22"/>
      <c r="AEL91" s="22"/>
      <c r="AEM91" s="22"/>
      <c r="AEN91" s="22"/>
      <c r="AEO91" s="22"/>
      <c r="AEP91" s="22"/>
      <c r="AEQ91" s="22"/>
      <c r="AER91" s="22"/>
      <c r="AES91" s="22"/>
      <c r="AET91" s="22"/>
      <c r="AEU91" s="22"/>
      <c r="AEV91" s="22"/>
      <c r="AEW91" s="22"/>
      <c r="AEX91" s="22"/>
      <c r="AEY91" s="22"/>
      <c r="AEZ91" s="22"/>
      <c r="AFA91" s="22"/>
      <c r="AFB91" s="22"/>
      <c r="AFC91" s="22"/>
      <c r="AFD91" s="22"/>
      <c r="AFE91" s="22"/>
      <c r="AFF91" s="22"/>
      <c r="AFG91" s="22"/>
      <c r="AFH91" s="22"/>
      <c r="AFI91" s="22"/>
      <c r="AFJ91" s="22"/>
      <c r="AFK91" s="22"/>
      <c r="AFL91" s="22"/>
      <c r="AFM91" s="22"/>
      <c r="AFN91" s="22"/>
      <c r="AFO91" s="22"/>
      <c r="AFP91" s="22"/>
      <c r="AFQ91" s="22"/>
      <c r="AFR91" s="22"/>
      <c r="AFS91" s="22"/>
      <c r="AFT91" s="22"/>
      <c r="AFU91" s="22"/>
      <c r="AFV91" s="22"/>
      <c r="AFW91" s="22"/>
      <c r="AFX91" s="22"/>
      <c r="AFY91" s="22"/>
      <c r="AFZ91" s="22"/>
      <c r="AGA91" s="22"/>
      <c r="AGB91" s="22"/>
      <c r="AGC91" s="22"/>
      <c r="AGD91" s="22"/>
      <c r="AGE91" s="22"/>
      <c r="AGF91" s="22"/>
      <c r="AGG91" s="22"/>
      <c r="AGH91" s="22"/>
      <c r="AGI91" s="22"/>
      <c r="AGJ91" s="22"/>
      <c r="AGK91" s="22"/>
      <c r="AGL91" s="22"/>
      <c r="AGM91" s="22"/>
      <c r="AGN91" s="22"/>
      <c r="AGO91" s="22"/>
      <c r="AGP91" s="22"/>
      <c r="AGQ91" s="22"/>
      <c r="AGR91" s="22"/>
      <c r="AGS91" s="22"/>
      <c r="AGT91" s="22"/>
      <c r="AGU91" s="22"/>
      <c r="AGV91" s="22"/>
      <c r="AGW91" s="22"/>
      <c r="AGX91" s="22"/>
      <c r="AGY91" s="22"/>
      <c r="AGZ91" s="22"/>
      <c r="AHA91" s="22"/>
      <c r="AHB91" s="22"/>
      <c r="AHC91" s="22"/>
      <c r="AHD91" s="22"/>
      <c r="AHE91" s="22"/>
      <c r="AHF91" s="22"/>
      <c r="AHG91" s="22"/>
      <c r="AHH91" s="22"/>
      <c r="AHI91" s="22"/>
      <c r="AHJ91" s="22"/>
      <c r="AHK91" s="22"/>
      <c r="AHL91" s="22"/>
      <c r="AHM91" s="22"/>
      <c r="AHN91" s="22"/>
      <c r="AHO91" s="22"/>
      <c r="AHP91" s="22"/>
      <c r="AHQ91" s="22"/>
      <c r="AHR91" s="22"/>
      <c r="AHS91" s="22"/>
      <c r="AHT91" s="22"/>
      <c r="AHU91" s="22"/>
      <c r="AHV91" s="22"/>
      <c r="AHW91" s="22"/>
      <c r="AHX91" s="22"/>
      <c r="AHY91" s="22"/>
      <c r="AHZ91" s="22"/>
      <c r="AIA91" s="22"/>
      <c r="AIB91" s="22"/>
      <c r="AIC91" s="22"/>
      <c r="AID91" s="22"/>
      <c r="AIE91" s="22"/>
      <c r="AIF91" s="22"/>
      <c r="AIG91" s="22"/>
      <c r="AIH91" s="22"/>
      <c r="AII91" s="22"/>
      <c r="AIJ91" s="22"/>
      <c r="AIK91" s="22"/>
      <c r="AIL91" s="22"/>
      <c r="AIM91" s="22"/>
      <c r="AIN91" s="22"/>
      <c r="AIO91" s="22"/>
      <c r="AIP91" s="22"/>
      <c r="AIQ91" s="22"/>
      <c r="AIR91" s="22"/>
      <c r="AIS91" s="22"/>
      <c r="AIT91" s="22"/>
      <c r="AIU91" s="22"/>
      <c r="AIV91" s="22"/>
      <c r="AIW91" s="22"/>
      <c r="AIX91" s="22"/>
      <c r="AIY91" s="22"/>
      <c r="AIZ91" s="22"/>
      <c r="AJA91" s="22"/>
      <c r="AJB91" s="22"/>
      <c r="AJC91" s="22"/>
      <c r="AJD91" s="22"/>
      <c r="AJE91" s="22"/>
      <c r="AJF91" s="22"/>
      <c r="AJG91" s="22"/>
      <c r="AJH91" s="22"/>
      <c r="AJI91" s="22"/>
      <c r="AJJ91" s="22"/>
      <c r="AJK91" s="22"/>
      <c r="AJL91" s="22"/>
      <c r="AJM91" s="22"/>
      <c r="AJN91" s="22"/>
      <c r="AJO91" s="22"/>
      <c r="AJP91" s="22"/>
      <c r="AJQ91" s="22"/>
      <c r="AJR91" s="22"/>
      <c r="AJS91" s="22"/>
      <c r="AJT91" s="22"/>
      <c r="AJU91" s="22"/>
      <c r="AJV91" s="22"/>
      <c r="AJW91" s="22"/>
      <c r="AJX91" s="22"/>
      <c r="AJY91" s="22"/>
      <c r="AJZ91" s="22"/>
      <c r="AKA91" s="22"/>
      <c r="AKB91" s="22"/>
      <c r="AKC91" s="22"/>
      <c r="AKD91" s="22"/>
      <c r="AKE91" s="22"/>
      <c r="AKF91" s="22"/>
      <c r="AKG91" s="22"/>
      <c r="AKH91" s="22"/>
      <c r="AKI91" s="22"/>
      <c r="AKJ91" s="22"/>
      <c r="AKK91" s="22"/>
      <c r="AKL91" s="22"/>
      <c r="AKM91" s="22"/>
      <c r="AKN91" s="22"/>
      <c r="AKO91" s="22"/>
      <c r="AKP91" s="22"/>
      <c r="AKQ91" s="22"/>
      <c r="AKR91" s="22"/>
      <c r="AKS91" s="22"/>
      <c r="AKT91" s="22"/>
      <c r="AKU91" s="22"/>
      <c r="AKV91" s="22"/>
      <c r="AKW91" s="22"/>
      <c r="AKX91" s="22"/>
      <c r="AKY91" s="22"/>
      <c r="AKZ91" s="22"/>
      <c r="ALA91" s="22"/>
      <c r="ALB91" s="22"/>
      <c r="ALC91" s="22"/>
      <c r="ALD91" s="22"/>
      <c r="ALE91" s="22"/>
      <c r="ALF91" s="22"/>
      <c r="ALG91" s="22"/>
      <c r="ALH91" s="22"/>
      <c r="ALI91" s="22"/>
      <c r="ALJ91" s="22"/>
      <c r="ALK91" s="22"/>
      <c r="ALL91" s="22"/>
      <c r="ALM91" s="22"/>
      <c r="ALN91" s="22"/>
      <c r="ALO91" s="22"/>
      <c r="ALP91" s="22"/>
      <c r="ALQ91" s="22"/>
      <c r="ALR91" s="22"/>
      <c r="ALS91" s="22"/>
      <c r="ALT91" s="22"/>
      <c r="ALU91" s="22"/>
      <c r="ALV91" s="22"/>
      <c r="ALW91" s="22"/>
      <c r="ALX91" s="22"/>
      <c r="ALY91" s="22"/>
      <c r="ALZ91" s="22"/>
      <c r="AMA91" s="22"/>
      <c r="AMB91" s="22"/>
      <c r="AMC91" s="22"/>
      <c r="AMD91" s="22"/>
      <c r="AME91" s="22"/>
      <c r="AMF91" s="22"/>
      <c r="AMG91" s="22"/>
      <c r="AMH91" s="22"/>
      <c r="AMI91" s="22"/>
      <c r="AMJ91" s="22"/>
      <c r="AMK91" s="22"/>
      <c r="AML91" s="22"/>
      <c r="AMM91" s="22"/>
      <c r="AMN91" s="22"/>
      <c r="AMO91" s="22"/>
      <c r="AMP91" s="22"/>
      <c r="AMQ91" s="22"/>
      <c r="AMR91" s="22"/>
      <c r="AMS91" s="22"/>
      <c r="AMT91" s="22"/>
      <c r="AMU91" s="22"/>
      <c r="AMV91" s="22"/>
      <c r="AMW91" s="22"/>
      <c r="AMX91" s="22"/>
      <c r="AMY91" s="22"/>
      <c r="AMZ91" s="22"/>
      <c r="ANA91" s="22"/>
      <c r="ANB91" s="22"/>
      <c r="ANC91" s="22"/>
      <c r="AND91" s="22"/>
      <c r="ANE91" s="22"/>
      <c r="ANF91" s="22"/>
      <c r="ANG91" s="22"/>
      <c r="ANH91" s="22"/>
      <c r="ANI91" s="22"/>
      <c r="ANJ91" s="22"/>
      <c r="ANK91" s="22"/>
      <c r="ANL91" s="22"/>
      <c r="ANM91" s="22"/>
      <c r="ANN91" s="22"/>
      <c r="ANO91" s="22"/>
      <c r="ANP91" s="22"/>
      <c r="ANQ91" s="22"/>
      <c r="ANR91" s="22"/>
      <c r="ANS91" s="22"/>
      <c r="ANT91" s="22"/>
      <c r="ANU91" s="22"/>
      <c r="ANV91" s="22"/>
      <c r="ANW91" s="22"/>
      <c r="ANX91" s="22"/>
      <c r="ANY91" s="22"/>
      <c r="ANZ91" s="22"/>
      <c r="AOA91" s="22"/>
      <c r="AOB91" s="22"/>
      <c r="AOC91" s="22"/>
      <c r="AOD91" s="22"/>
      <c r="AOE91" s="22"/>
      <c r="AOF91" s="22"/>
      <c r="AOG91" s="22"/>
      <c r="AOH91" s="22"/>
      <c r="AOI91" s="22"/>
      <c r="AOJ91" s="22"/>
      <c r="AOK91" s="22"/>
      <c r="AOL91" s="22"/>
      <c r="AOM91" s="22"/>
      <c r="AON91" s="22"/>
      <c r="AOO91" s="22"/>
      <c r="AOP91" s="22"/>
      <c r="AOQ91" s="22"/>
      <c r="AOR91" s="22"/>
      <c r="AOS91" s="22"/>
      <c r="AOT91" s="22"/>
      <c r="AOU91" s="22"/>
      <c r="AOV91" s="22"/>
      <c r="AOW91" s="22"/>
      <c r="AOX91" s="22"/>
      <c r="AOY91" s="22"/>
      <c r="AOZ91" s="22"/>
      <c r="APA91" s="22"/>
      <c r="APB91" s="22"/>
      <c r="APC91" s="22"/>
      <c r="APD91" s="22"/>
      <c r="APE91" s="22"/>
      <c r="APF91" s="22"/>
      <c r="APG91" s="22"/>
      <c r="APH91" s="22"/>
      <c r="API91" s="22"/>
      <c r="APJ91" s="22"/>
      <c r="APK91" s="22"/>
      <c r="APL91" s="22"/>
      <c r="APM91" s="22"/>
      <c r="APN91" s="22"/>
      <c r="APO91" s="22"/>
      <c r="APP91" s="22"/>
      <c r="APQ91" s="22"/>
      <c r="APR91" s="22"/>
      <c r="APS91" s="22"/>
      <c r="APT91" s="22"/>
      <c r="APU91" s="22"/>
      <c r="APV91" s="22"/>
      <c r="APW91" s="22"/>
      <c r="APX91" s="22"/>
      <c r="APY91" s="22"/>
      <c r="APZ91" s="22"/>
      <c r="AQA91" s="22"/>
      <c r="AQB91" s="22"/>
      <c r="AQC91" s="22"/>
      <c r="AQD91" s="22"/>
      <c r="AQE91" s="22"/>
      <c r="AQF91" s="22"/>
      <c r="AQG91" s="22"/>
      <c r="AQH91" s="22"/>
      <c r="AQI91" s="22"/>
      <c r="AQJ91" s="22"/>
      <c r="AQK91" s="22"/>
      <c r="AQL91" s="22"/>
      <c r="AQM91" s="22"/>
      <c r="AQN91" s="22"/>
      <c r="AQO91" s="22"/>
      <c r="AQP91" s="22"/>
      <c r="AQQ91" s="22"/>
      <c r="AQR91" s="22"/>
      <c r="AQS91" s="22"/>
      <c r="AQT91" s="22"/>
      <c r="AQU91" s="22"/>
      <c r="AQV91" s="22"/>
      <c r="AQW91" s="22"/>
      <c r="AQX91" s="22"/>
      <c r="AQY91" s="22"/>
      <c r="AQZ91" s="22"/>
      <c r="ARA91" s="22"/>
      <c r="ARB91" s="22"/>
      <c r="ARC91" s="22"/>
      <c r="ARD91" s="22"/>
      <c r="ARE91" s="22"/>
      <c r="ARF91" s="22"/>
      <c r="ARG91" s="22"/>
      <c r="ARH91" s="22"/>
      <c r="ARI91" s="22"/>
      <c r="ARJ91" s="22"/>
      <c r="ARK91" s="22"/>
      <c r="ARL91" s="22"/>
      <c r="ARM91" s="22"/>
      <c r="ARN91" s="22"/>
      <c r="ARO91" s="22"/>
      <c r="ARP91" s="22"/>
      <c r="ARQ91" s="22"/>
      <c r="ARR91" s="22"/>
      <c r="ARS91" s="22"/>
      <c r="ART91" s="22"/>
      <c r="ARU91" s="22"/>
      <c r="ARV91" s="22"/>
      <c r="ARW91" s="22"/>
      <c r="ARX91" s="22"/>
      <c r="ARY91" s="22"/>
      <c r="ARZ91" s="22"/>
      <c r="ASA91" s="22"/>
      <c r="ASB91" s="22"/>
      <c r="ASC91" s="22"/>
      <c r="ASD91" s="22"/>
      <c r="ASE91" s="22"/>
      <c r="ASF91" s="22"/>
      <c r="ASG91" s="22"/>
      <c r="ASH91" s="22"/>
      <c r="ASI91" s="22"/>
      <c r="ASJ91" s="22"/>
      <c r="ASK91" s="22"/>
      <c r="ASL91" s="22"/>
      <c r="ASM91" s="22"/>
      <c r="ASN91" s="22"/>
      <c r="ASO91" s="22"/>
      <c r="ASP91" s="22"/>
      <c r="ASQ91" s="22"/>
      <c r="ASR91" s="22"/>
      <c r="ASS91" s="22"/>
      <c r="AST91" s="22"/>
      <c r="ASU91" s="22"/>
      <c r="ASV91" s="22"/>
      <c r="ASW91" s="22"/>
      <c r="ASX91" s="22"/>
      <c r="ASY91" s="22"/>
      <c r="ASZ91" s="22"/>
      <c r="ATA91" s="22"/>
      <c r="ATB91" s="22"/>
      <c r="ATC91" s="22"/>
      <c r="ATD91" s="22"/>
      <c r="ATE91" s="22"/>
      <c r="ATF91" s="22"/>
      <c r="ATG91" s="22"/>
      <c r="ATH91" s="22"/>
      <c r="ATI91" s="22"/>
      <c r="ATJ91" s="22"/>
      <c r="ATK91" s="22"/>
      <c r="ATL91" s="22"/>
      <c r="ATM91" s="22"/>
      <c r="ATN91" s="22"/>
      <c r="ATO91" s="22"/>
      <c r="ATP91" s="22"/>
      <c r="ATQ91" s="22"/>
      <c r="ATR91" s="22"/>
      <c r="ATS91" s="22"/>
      <c r="ATT91" s="22"/>
      <c r="ATU91" s="22"/>
      <c r="ATV91" s="22"/>
      <c r="ATW91" s="22"/>
      <c r="ATX91" s="22"/>
      <c r="ATY91" s="22"/>
      <c r="ATZ91" s="22"/>
      <c r="AUA91" s="22"/>
      <c r="AUB91" s="22"/>
      <c r="AUC91" s="22"/>
      <c r="AUD91" s="22"/>
      <c r="AUE91" s="22"/>
      <c r="AUF91" s="22"/>
      <c r="AUG91" s="22"/>
      <c r="AUH91" s="22"/>
      <c r="AUI91" s="22"/>
      <c r="AUJ91" s="22"/>
      <c r="AUK91" s="22"/>
      <c r="AUL91" s="22"/>
      <c r="AUM91" s="22"/>
      <c r="AUN91" s="22"/>
      <c r="AUO91" s="22"/>
      <c r="AUP91" s="22"/>
      <c r="AUQ91" s="22"/>
      <c r="AUR91" s="22"/>
      <c r="AUS91" s="22"/>
      <c r="AUT91" s="22"/>
      <c r="AUU91" s="22"/>
      <c r="AUV91" s="22"/>
      <c r="AUW91" s="22"/>
      <c r="AUX91" s="22"/>
      <c r="AUY91" s="22"/>
      <c r="AUZ91" s="22"/>
      <c r="AVA91" s="22"/>
      <c r="AVB91" s="22"/>
      <c r="AVC91" s="22"/>
      <c r="AVD91" s="22"/>
      <c r="AVE91" s="22"/>
      <c r="AVF91" s="22"/>
      <c r="AVG91" s="22"/>
      <c r="AVH91" s="22"/>
      <c r="AVI91" s="22"/>
      <c r="AVJ91" s="22"/>
      <c r="AVK91" s="22"/>
      <c r="AVL91" s="22"/>
      <c r="AVM91" s="22"/>
      <c r="AVN91" s="22"/>
      <c r="AVO91" s="22"/>
      <c r="AVP91" s="22"/>
      <c r="AVQ91" s="22"/>
      <c r="AVR91" s="22"/>
      <c r="AVS91" s="22"/>
      <c r="AVT91" s="22"/>
      <c r="AVU91" s="22"/>
      <c r="AVV91" s="22"/>
      <c r="AVW91" s="22"/>
      <c r="AVX91" s="22"/>
      <c r="AVY91" s="22"/>
      <c r="AVZ91" s="22"/>
      <c r="AWA91" s="22"/>
      <c r="AWB91" s="22"/>
      <c r="AWC91" s="22"/>
      <c r="AWD91" s="22"/>
      <c r="AWE91" s="22"/>
      <c r="AWF91" s="22"/>
      <c r="AWG91" s="22"/>
      <c r="AWH91" s="22"/>
      <c r="AWI91" s="22"/>
      <c r="AWJ91" s="22"/>
      <c r="AWK91" s="22"/>
      <c r="AWL91" s="22"/>
      <c r="AWM91" s="22"/>
      <c r="AWN91" s="22"/>
      <c r="AWO91" s="22"/>
      <c r="AWP91" s="22"/>
      <c r="AWQ91" s="22"/>
      <c r="AWR91" s="22"/>
      <c r="AWS91" s="22"/>
      <c r="AWT91" s="22"/>
      <c r="AWU91" s="22"/>
      <c r="AWV91" s="22"/>
      <c r="AWW91" s="22"/>
      <c r="AWX91" s="22"/>
      <c r="AWY91" s="22"/>
      <c r="AWZ91" s="22"/>
      <c r="AXA91" s="22"/>
      <c r="AXB91" s="22"/>
      <c r="AXC91" s="22"/>
      <c r="AXD91" s="22"/>
      <c r="AXE91" s="22"/>
      <c r="AXF91" s="22"/>
      <c r="AXG91" s="22"/>
      <c r="AXH91" s="22"/>
      <c r="AXI91" s="22"/>
      <c r="AXJ91" s="22"/>
      <c r="AXK91" s="22"/>
      <c r="AXL91" s="22"/>
      <c r="AXM91" s="22"/>
      <c r="AXN91" s="22"/>
      <c r="AXO91" s="22"/>
      <c r="AXP91" s="22"/>
      <c r="AXQ91" s="22"/>
      <c r="AXR91" s="22"/>
      <c r="AXS91" s="22"/>
      <c r="AXT91" s="22"/>
      <c r="AXU91" s="22"/>
      <c r="AXV91" s="22"/>
      <c r="AXW91" s="22"/>
      <c r="AXX91" s="22"/>
      <c r="AXY91" s="22"/>
      <c r="AXZ91" s="22"/>
      <c r="AYA91" s="22"/>
      <c r="AYB91" s="22"/>
      <c r="AYC91" s="22"/>
      <c r="AYD91" s="22"/>
      <c r="AYE91" s="22"/>
      <c r="AYF91" s="22"/>
      <c r="AYG91" s="22"/>
      <c r="AYH91" s="22"/>
      <c r="AYI91" s="22"/>
      <c r="AYJ91" s="22"/>
      <c r="AYK91" s="22"/>
      <c r="AYL91" s="22"/>
      <c r="AYM91" s="22"/>
      <c r="AYN91" s="22"/>
      <c r="AYO91" s="22"/>
      <c r="AYP91" s="22"/>
      <c r="AYQ91" s="22"/>
      <c r="AYR91" s="22"/>
      <c r="AYS91" s="22"/>
      <c r="AYT91" s="22"/>
      <c r="AYU91" s="22"/>
      <c r="AYV91" s="22"/>
      <c r="AYW91" s="22"/>
      <c r="AYX91" s="22"/>
      <c r="AYY91" s="22"/>
      <c r="AYZ91" s="22"/>
      <c r="AZA91" s="22"/>
      <c r="AZB91" s="22"/>
      <c r="AZC91" s="22"/>
      <c r="AZD91" s="22"/>
      <c r="AZE91" s="22"/>
      <c r="AZF91" s="22"/>
      <c r="AZG91" s="22"/>
      <c r="AZH91" s="22"/>
      <c r="AZI91" s="22"/>
      <c r="AZJ91" s="22"/>
      <c r="AZK91" s="22"/>
      <c r="AZL91" s="22"/>
      <c r="AZM91" s="22"/>
      <c r="AZN91" s="22"/>
      <c r="AZO91" s="22"/>
      <c r="AZP91" s="22"/>
      <c r="AZQ91" s="22"/>
      <c r="AZR91" s="22"/>
      <c r="AZS91" s="22"/>
      <c r="AZT91" s="22"/>
      <c r="AZU91" s="22"/>
      <c r="AZV91" s="22"/>
      <c r="AZW91" s="22"/>
      <c r="AZX91" s="22"/>
      <c r="AZY91" s="22"/>
      <c r="AZZ91" s="22"/>
      <c r="BAA91" s="22"/>
      <c r="BAB91" s="22"/>
      <c r="BAC91" s="22"/>
      <c r="BAD91" s="22"/>
      <c r="BAE91" s="22"/>
      <c r="BAF91" s="22"/>
      <c r="BAG91" s="22"/>
      <c r="BAH91" s="22"/>
      <c r="BAI91" s="22"/>
      <c r="BAJ91" s="22"/>
      <c r="BAK91" s="22"/>
      <c r="BAL91" s="22"/>
      <c r="BAM91" s="22"/>
      <c r="BAN91" s="22"/>
      <c r="BAO91" s="22"/>
      <c r="BAP91" s="22"/>
      <c r="BAQ91" s="22"/>
      <c r="BAR91" s="22"/>
      <c r="BAS91" s="22"/>
      <c r="BAT91" s="22"/>
      <c r="BAU91" s="22"/>
      <c r="BAV91" s="22"/>
      <c r="BAW91" s="22"/>
      <c r="BAX91" s="22"/>
      <c r="BAY91" s="22"/>
      <c r="BAZ91" s="22"/>
      <c r="BBA91" s="22"/>
      <c r="BBB91" s="22"/>
      <c r="BBC91" s="22"/>
      <c r="BBD91" s="22"/>
      <c r="BBE91" s="22"/>
      <c r="BBF91" s="22"/>
      <c r="BBG91" s="22"/>
      <c r="BBH91" s="22"/>
      <c r="BBI91" s="22"/>
      <c r="BBJ91" s="22"/>
      <c r="BBK91" s="22"/>
      <c r="BBL91" s="22"/>
      <c r="BBM91" s="22"/>
      <c r="BBN91" s="22"/>
      <c r="BBO91" s="22"/>
      <c r="BBP91" s="22"/>
      <c r="BBQ91" s="22"/>
      <c r="BBR91" s="22"/>
      <c r="BBS91" s="22"/>
      <c r="BBT91" s="22"/>
      <c r="BBU91" s="22"/>
      <c r="BBV91" s="22"/>
      <c r="BBW91" s="22"/>
      <c r="BBX91" s="22"/>
      <c r="BBY91" s="22"/>
      <c r="BBZ91" s="22"/>
      <c r="BCA91" s="22"/>
      <c r="BCB91" s="22"/>
      <c r="BCC91" s="22"/>
      <c r="BCD91" s="22"/>
      <c r="BCE91" s="22"/>
      <c r="BCF91" s="22"/>
      <c r="BCG91" s="22"/>
      <c r="BCH91" s="22"/>
      <c r="BCI91" s="22"/>
      <c r="BCJ91" s="22"/>
      <c r="BCK91" s="22"/>
      <c r="BCL91" s="22"/>
      <c r="BCM91" s="22"/>
      <c r="BCN91" s="22"/>
      <c r="BCO91" s="22"/>
      <c r="BCP91" s="22"/>
      <c r="BCQ91" s="22"/>
      <c r="BCR91" s="22"/>
      <c r="BCS91" s="22"/>
      <c r="BCT91" s="22"/>
      <c r="BCU91" s="22"/>
      <c r="BCV91" s="22"/>
      <c r="BCW91" s="22"/>
      <c r="BCX91" s="22"/>
      <c r="BCY91" s="22"/>
      <c r="BCZ91" s="22"/>
      <c r="BDA91" s="22"/>
      <c r="BDB91" s="22"/>
      <c r="BDC91" s="22"/>
      <c r="BDD91" s="22"/>
      <c r="BDE91" s="22"/>
      <c r="BDF91" s="22"/>
      <c r="BDG91" s="22"/>
      <c r="BDH91" s="22"/>
      <c r="BDI91" s="22"/>
      <c r="BDJ91" s="22"/>
      <c r="BDK91" s="22"/>
      <c r="BDL91" s="22"/>
      <c r="BDM91" s="22"/>
      <c r="BDN91" s="22"/>
      <c r="BDO91" s="22"/>
      <c r="BDP91" s="22"/>
      <c r="BDQ91" s="22"/>
      <c r="BDR91" s="22"/>
      <c r="BDS91" s="22"/>
      <c r="BDT91" s="22"/>
      <c r="BDU91" s="22"/>
      <c r="BDV91" s="22"/>
      <c r="BDW91" s="22"/>
      <c r="BDX91" s="22"/>
      <c r="BDY91" s="22"/>
      <c r="BDZ91" s="22"/>
      <c r="BEA91" s="22"/>
      <c r="BEB91" s="22"/>
      <c r="BEC91" s="22"/>
      <c r="BED91" s="22"/>
      <c r="BEE91" s="22"/>
      <c r="BEF91" s="22"/>
      <c r="BEG91" s="22"/>
      <c r="BEH91" s="22"/>
      <c r="BEI91" s="22"/>
      <c r="BEJ91" s="22"/>
      <c r="BEK91" s="22"/>
      <c r="BEL91" s="22"/>
      <c r="BEM91" s="22"/>
      <c r="BEN91" s="22"/>
      <c r="BEO91" s="22"/>
      <c r="BEP91" s="22"/>
      <c r="BEQ91" s="22"/>
      <c r="BER91" s="22"/>
      <c r="BES91" s="22"/>
      <c r="BET91" s="22"/>
      <c r="BEU91" s="22"/>
      <c r="BEV91" s="22"/>
      <c r="BEW91" s="22"/>
      <c r="BEX91" s="22"/>
      <c r="BEY91" s="22"/>
      <c r="BEZ91" s="22"/>
      <c r="BFA91" s="22"/>
      <c r="BFB91" s="22"/>
      <c r="BFC91" s="22"/>
      <c r="BFD91" s="22"/>
      <c r="BFE91" s="22"/>
      <c r="BFF91" s="22"/>
      <c r="BFG91" s="22"/>
      <c r="BFH91" s="22"/>
      <c r="BFI91" s="22"/>
      <c r="BFJ91" s="22"/>
      <c r="BFK91" s="22"/>
      <c r="BFL91" s="22"/>
      <c r="BFM91" s="22"/>
      <c r="BFN91" s="22"/>
      <c r="BFO91" s="22"/>
      <c r="BFP91" s="22"/>
      <c r="BFQ91" s="22"/>
      <c r="BFR91" s="22"/>
      <c r="BFS91" s="22"/>
      <c r="BFT91" s="22"/>
      <c r="BFU91" s="22"/>
      <c r="BFV91" s="22"/>
      <c r="BFW91" s="22"/>
    </row>
    <row r="92" spans="1:1531" s="208" customFormat="1" ht="46.15" customHeight="1" x14ac:dyDescent="0.2">
      <c r="A92" s="305" t="s">
        <v>528</v>
      </c>
      <c r="B92" s="286"/>
      <c r="C92" s="122" t="s">
        <v>558</v>
      </c>
      <c r="D92" s="286"/>
      <c r="E92" s="286" t="s">
        <v>835</v>
      </c>
      <c r="F92" s="286"/>
      <c r="G92" s="286" t="s">
        <v>536</v>
      </c>
      <c r="H92" s="174"/>
      <c r="I92" s="281">
        <v>125</v>
      </c>
      <c r="J92" s="176"/>
      <c r="K92" s="122" t="s">
        <v>117</v>
      </c>
      <c r="L92" s="176"/>
      <c r="M92" s="176"/>
      <c r="N92" s="176"/>
      <c r="O92" s="176">
        <v>2015</v>
      </c>
      <c r="P92" s="162" t="s">
        <v>750</v>
      </c>
      <c r="Q92" s="176"/>
      <c r="R92" s="176"/>
      <c r="S92" s="282"/>
      <c r="T92" s="176"/>
      <c r="U92" s="176"/>
      <c r="V92" s="176"/>
      <c r="W92" s="176"/>
      <c r="X92" s="176"/>
      <c r="Y92" s="283"/>
      <c r="Z92" s="176"/>
      <c r="AA92" s="282"/>
      <c r="AB92" s="176"/>
      <c r="AC92" s="176"/>
      <c r="AD92" s="176"/>
      <c r="AE92" s="176"/>
      <c r="AF92" s="176"/>
      <c r="AG92" s="176"/>
      <c r="AH92" s="176"/>
      <c r="AI92" s="176"/>
      <c r="AJ92" s="176"/>
      <c r="AK92" s="176"/>
      <c r="AL92" s="176">
        <v>52</v>
      </c>
      <c r="AM92" s="176"/>
      <c r="AN92" s="284">
        <v>6500</v>
      </c>
      <c r="AU92" s="285"/>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c r="IW92" s="22"/>
      <c r="IX92" s="22"/>
      <c r="IY92" s="22"/>
      <c r="IZ92" s="22"/>
      <c r="JA92" s="22"/>
      <c r="JB92" s="22"/>
      <c r="JC92" s="22"/>
      <c r="JD92" s="22"/>
      <c r="JE92" s="22"/>
      <c r="JF92" s="22"/>
      <c r="JG92" s="22"/>
      <c r="JH92" s="22"/>
      <c r="JI92" s="22"/>
      <c r="JJ92" s="22"/>
      <c r="JK92" s="22"/>
      <c r="JL92" s="22"/>
      <c r="JM92" s="22"/>
      <c r="JN92" s="22"/>
      <c r="JO92" s="22"/>
      <c r="JP92" s="22"/>
      <c r="JQ92" s="22"/>
      <c r="JR92" s="22"/>
      <c r="JS92" s="22"/>
      <c r="JT92" s="22"/>
      <c r="JU92" s="22"/>
      <c r="JV92" s="22"/>
      <c r="JW92" s="22"/>
      <c r="JX92" s="22"/>
      <c r="JY92" s="22"/>
      <c r="JZ92" s="22"/>
      <c r="KA92" s="22"/>
      <c r="KB92" s="22"/>
      <c r="KC92" s="22"/>
      <c r="KD92" s="22"/>
      <c r="KE92" s="22"/>
      <c r="KF92" s="22"/>
      <c r="KG92" s="22"/>
      <c r="KH92" s="22"/>
      <c r="KI92" s="22"/>
      <c r="KJ92" s="22"/>
      <c r="KK92" s="22"/>
      <c r="KL92" s="22"/>
      <c r="KM92" s="22"/>
      <c r="KN92" s="22"/>
      <c r="KO92" s="22"/>
      <c r="KP92" s="22"/>
      <c r="KQ92" s="22"/>
      <c r="KR92" s="22"/>
      <c r="KS92" s="22"/>
      <c r="KT92" s="22"/>
      <c r="KU92" s="22"/>
      <c r="KV92" s="22"/>
      <c r="KW92" s="22"/>
      <c r="KX92" s="22"/>
      <c r="KY92" s="22"/>
      <c r="KZ92" s="22"/>
      <c r="LA92" s="22"/>
      <c r="LB92" s="22"/>
      <c r="LC92" s="22"/>
      <c r="LD92" s="22"/>
      <c r="LE92" s="22"/>
      <c r="LF92" s="22"/>
      <c r="LG92" s="22"/>
      <c r="LH92" s="22"/>
      <c r="LI92" s="22"/>
      <c r="LJ92" s="22"/>
      <c r="LK92" s="22"/>
      <c r="LL92" s="22"/>
      <c r="LM92" s="22"/>
      <c r="LN92" s="22"/>
      <c r="LO92" s="22"/>
      <c r="LP92" s="22"/>
      <c r="LQ92" s="22"/>
      <c r="LR92" s="22"/>
      <c r="LS92" s="22"/>
      <c r="LT92" s="22"/>
      <c r="LU92" s="22"/>
      <c r="LV92" s="22"/>
      <c r="LW92" s="22"/>
      <c r="LX92" s="22"/>
      <c r="LY92" s="22"/>
      <c r="LZ92" s="22"/>
      <c r="MA92" s="22"/>
      <c r="MB92" s="22"/>
      <c r="MC92" s="22"/>
      <c r="MD92" s="22"/>
      <c r="ME92" s="22"/>
      <c r="MF92" s="22"/>
      <c r="MG92" s="22"/>
      <c r="MH92" s="22"/>
      <c r="MI92" s="22"/>
      <c r="MJ92" s="22"/>
      <c r="MK92" s="22"/>
      <c r="ML92" s="22"/>
      <c r="MM92" s="22"/>
      <c r="MN92" s="22"/>
      <c r="MO92" s="22"/>
      <c r="MP92" s="22"/>
      <c r="MQ92" s="22"/>
      <c r="MR92" s="22"/>
      <c r="MS92" s="22"/>
      <c r="MT92" s="22"/>
      <c r="MU92" s="22"/>
      <c r="MV92" s="22"/>
      <c r="MW92" s="22"/>
      <c r="MX92" s="22"/>
      <c r="MY92" s="22"/>
      <c r="MZ92" s="22"/>
      <c r="NA92" s="22"/>
      <c r="NB92" s="22"/>
      <c r="NC92" s="22"/>
      <c r="ND92" s="22"/>
      <c r="NE92" s="22"/>
      <c r="NF92" s="22"/>
      <c r="NG92" s="22"/>
      <c r="NH92" s="22"/>
      <c r="NI92" s="22"/>
      <c r="NJ92" s="22"/>
      <c r="NK92" s="22"/>
      <c r="NL92" s="22"/>
      <c r="NM92" s="22"/>
      <c r="NN92" s="22"/>
      <c r="NO92" s="22"/>
      <c r="NP92" s="22"/>
      <c r="NQ92" s="22"/>
      <c r="NR92" s="22"/>
      <c r="NS92" s="22"/>
      <c r="NT92" s="22"/>
      <c r="NU92" s="22"/>
      <c r="NV92" s="22"/>
      <c r="NW92" s="22"/>
      <c r="NX92" s="22"/>
      <c r="NY92" s="22"/>
      <c r="NZ92" s="22"/>
      <c r="OA92" s="22"/>
      <c r="OB92" s="22"/>
      <c r="OC92" s="22"/>
      <c r="OD92" s="22"/>
      <c r="OE92" s="22"/>
      <c r="OF92" s="22"/>
      <c r="OG92" s="22"/>
      <c r="OH92" s="22"/>
      <c r="OI92" s="22"/>
      <c r="OJ92" s="22"/>
      <c r="OK92" s="22"/>
      <c r="OL92" s="22"/>
      <c r="OM92" s="22"/>
      <c r="ON92" s="22"/>
      <c r="OO92" s="22"/>
      <c r="OP92" s="22"/>
      <c r="OQ92" s="22"/>
      <c r="OR92" s="22"/>
      <c r="OS92" s="22"/>
      <c r="OT92" s="22"/>
      <c r="OU92" s="22"/>
      <c r="OV92" s="22"/>
      <c r="OW92" s="22"/>
      <c r="OX92" s="22"/>
      <c r="OY92" s="22"/>
      <c r="OZ92" s="22"/>
      <c r="PA92" s="22"/>
      <c r="PB92" s="22"/>
      <c r="PC92" s="22"/>
      <c r="PD92" s="22"/>
      <c r="PE92" s="22"/>
      <c r="PF92" s="22"/>
      <c r="PG92" s="22"/>
      <c r="PH92" s="22"/>
      <c r="PI92" s="22"/>
      <c r="PJ92" s="22"/>
      <c r="PK92" s="22"/>
      <c r="PL92" s="22"/>
      <c r="PM92" s="22"/>
      <c r="PN92" s="22"/>
      <c r="PO92" s="22"/>
      <c r="PP92" s="22"/>
      <c r="PQ92" s="22"/>
      <c r="PR92" s="22"/>
      <c r="PS92" s="22"/>
      <c r="PT92" s="22"/>
      <c r="PU92" s="22"/>
      <c r="PV92" s="22"/>
      <c r="PW92" s="22"/>
      <c r="PX92" s="22"/>
      <c r="PY92" s="22"/>
      <c r="PZ92" s="22"/>
      <c r="QA92" s="22"/>
      <c r="QB92" s="22"/>
      <c r="QC92" s="22"/>
      <c r="QD92" s="22"/>
      <c r="QE92" s="22"/>
      <c r="QF92" s="22"/>
      <c r="QG92" s="22"/>
      <c r="QH92" s="22"/>
      <c r="QI92" s="22"/>
      <c r="QJ92" s="22"/>
      <c r="QK92" s="22"/>
      <c r="QL92" s="22"/>
      <c r="QM92" s="22"/>
      <c r="QN92" s="22"/>
      <c r="QO92" s="22"/>
      <c r="QP92" s="22"/>
      <c r="QQ92" s="22"/>
      <c r="QR92" s="22"/>
      <c r="QS92" s="22"/>
      <c r="QT92" s="22"/>
      <c r="QU92" s="22"/>
      <c r="QV92" s="22"/>
      <c r="QW92" s="22"/>
      <c r="QX92" s="22"/>
      <c r="QY92" s="22"/>
      <c r="QZ92" s="22"/>
      <c r="RA92" s="22"/>
      <c r="RB92" s="22"/>
      <c r="RC92" s="22"/>
      <c r="RD92" s="22"/>
      <c r="RE92" s="22"/>
      <c r="RF92" s="22"/>
      <c r="RG92" s="22"/>
      <c r="RH92" s="22"/>
      <c r="RI92" s="22"/>
      <c r="RJ92" s="22"/>
      <c r="RK92" s="22"/>
      <c r="RL92" s="22"/>
      <c r="RM92" s="22"/>
      <c r="RN92" s="22"/>
      <c r="RO92" s="22"/>
      <c r="RP92" s="22"/>
      <c r="RQ92" s="22"/>
      <c r="RR92" s="22"/>
      <c r="RS92" s="22"/>
      <c r="RT92" s="22"/>
      <c r="RU92" s="22"/>
      <c r="RV92" s="22"/>
      <c r="RW92" s="22"/>
      <c r="RX92" s="22"/>
      <c r="RY92" s="22"/>
      <c r="RZ92" s="22"/>
      <c r="SA92" s="22"/>
      <c r="SB92" s="22"/>
      <c r="SC92" s="22"/>
      <c r="SD92" s="22"/>
      <c r="SE92" s="22"/>
      <c r="SF92" s="22"/>
      <c r="SG92" s="22"/>
      <c r="SH92" s="22"/>
      <c r="SI92" s="22"/>
      <c r="SJ92" s="22"/>
      <c r="SK92" s="22"/>
      <c r="SL92" s="22"/>
      <c r="SM92" s="22"/>
      <c r="SN92" s="22"/>
      <c r="SO92" s="22"/>
      <c r="SP92" s="22"/>
      <c r="SQ92" s="22"/>
      <c r="SR92" s="22"/>
      <c r="SS92" s="22"/>
      <c r="ST92" s="22"/>
      <c r="SU92" s="22"/>
      <c r="SV92" s="22"/>
      <c r="SW92" s="22"/>
      <c r="SX92" s="22"/>
      <c r="SY92" s="22"/>
      <c r="SZ92" s="22"/>
      <c r="TA92" s="22"/>
      <c r="TB92" s="22"/>
      <c r="TC92" s="22"/>
      <c r="TD92" s="22"/>
      <c r="TE92" s="22"/>
      <c r="TF92" s="22"/>
      <c r="TG92" s="22"/>
      <c r="TH92" s="22"/>
      <c r="TI92" s="22"/>
      <c r="TJ92" s="22"/>
      <c r="TK92" s="22"/>
      <c r="TL92" s="22"/>
      <c r="TM92" s="22"/>
      <c r="TN92" s="22"/>
      <c r="TO92" s="22"/>
      <c r="TP92" s="22"/>
      <c r="TQ92" s="22"/>
      <c r="TR92" s="22"/>
      <c r="TS92" s="22"/>
      <c r="TT92" s="22"/>
      <c r="TU92" s="22"/>
      <c r="TV92" s="22"/>
      <c r="TW92" s="22"/>
      <c r="TX92" s="22"/>
      <c r="TY92" s="22"/>
      <c r="TZ92" s="22"/>
      <c r="UA92" s="22"/>
      <c r="UB92" s="22"/>
      <c r="UC92" s="22"/>
      <c r="UD92" s="22"/>
      <c r="UE92" s="22"/>
      <c r="UF92" s="22"/>
      <c r="UG92" s="22"/>
      <c r="UH92" s="22"/>
      <c r="UI92" s="22"/>
      <c r="UJ92" s="22"/>
      <c r="UK92" s="22"/>
      <c r="UL92" s="22"/>
      <c r="UM92" s="22"/>
      <c r="UN92" s="22"/>
      <c r="UO92" s="22"/>
      <c r="UP92" s="22"/>
      <c r="UQ92" s="22"/>
      <c r="UR92" s="22"/>
      <c r="US92" s="22"/>
      <c r="UT92" s="22"/>
      <c r="UU92" s="22"/>
      <c r="UV92" s="22"/>
      <c r="UW92" s="22"/>
      <c r="UX92" s="22"/>
      <c r="UY92" s="22"/>
      <c r="UZ92" s="22"/>
      <c r="VA92" s="22"/>
      <c r="VB92" s="22"/>
      <c r="VC92" s="22"/>
      <c r="VD92" s="22"/>
      <c r="VE92" s="22"/>
      <c r="VF92" s="22"/>
      <c r="VG92" s="22"/>
      <c r="VH92" s="22"/>
      <c r="VI92" s="22"/>
      <c r="VJ92" s="22"/>
      <c r="VK92" s="22"/>
      <c r="VL92" s="22"/>
      <c r="VM92" s="22"/>
      <c r="VN92" s="22"/>
      <c r="VO92" s="22"/>
      <c r="VP92" s="22"/>
      <c r="VQ92" s="22"/>
      <c r="VR92" s="22"/>
      <c r="VS92" s="22"/>
      <c r="VT92" s="22"/>
      <c r="VU92" s="22"/>
      <c r="VV92" s="22"/>
      <c r="VW92" s="22"/>
      <c r="VX92" s="22"/>
      <c r="VY92" s="22"/>
      <c r="VZ92" s="22"/>
      <c r="WA92" s="22"/>
      <c r="WB92" s="22"/>
      <c r="WC92" s="22"/>
      <c r="WD92" s="22"/>
      <c r="WE92" s="22"/>
      <c r="WF92" s="22"/>
      <c r="WG92" s="22"/>
      <c r="WH92" s="22"/>
      <c r="WI92" s="22"/>
      <c r="WJ92" s="22"/>
      <c r="WK92" s="22"/>
      <c r="WL92" s="22"/>
      <c r="WM92" s="22"/>
      <c r="WN92" s="22"/>
      <c r="WO92" s="22"/>
      <c r="WP92" s="22"/>
      <c r="WQ92" s="22"/>
      <c r="WR92" s="22"/>
      <c r="WS92" s="22"/>
      <c r="WT92" s="22"/>
      <c r="WU92" s="22"/>
      <c r="WV92" s="22"/>
      <c r="WW92" s="22"/>
      <c r="WX92" s="22"/>
      <c r="WY92" s="22"/>
      <c r="WZ92" s="22"/>
      <c r="XA92" s="22"/>
      <c r="XB92" s="22"/>
      <c r="XC92" s="22"/>
      <c r="XD92" s="22"/>
      <c r="XE92" s="22"/>
      <c r="XF92" s="22"/>
      <c r="XG92" s="22"/>
      <c r="XH92" s="22"/>
      <c r="XI92" s="22"/>
      <c r="XJ92" s="22"/>
      <c r="XK92" s="22"/>
      <c r="XL92" s="22"/>
      <c r="XM92" s="22"/>
      <c r="XN92" s="22"/>
      <c r="XO92" s="22"/>
      <c r="XP92" s="22"/>
      <c r="XQ92" s="22"/>
      <c r="XR92" s="22"/>
      <c r="XS92" s="22"/>
      <c r="XT92" s="22"/>
      <c r="XU92" s="22"/>
      <c r="XV92" s="22"/>
      <c r="XW92" s="22"/>
      <c r="XX92" s="22"/>
      <c r="XY92" s="22"/>
      <c r="XZ92" s="22"/>
      <c r="YA92" s="22"/>
      <c r="YB92" s="22"/>
      <c r="YC92" s="22"/>
      <c r="YD92" s="22"/>
      <c r="YE92" s="22"/>
      <c r="YF92" s="22"/>
      <c r="YG92" s="22"/>
      <c r="YH92" s="22"/>
      <c r="YI92" s="22"/>
      <c r="YJ92" s="22"/>
      <c r="YK92" s="22"/>
      <c r="YL92" s="22"/>
      <c r="YM92" s="22"/>
      <c r="YN92" s="22"/>
      <c r="YO92" s="22"/>
      <c r="YP92" s="22"/>
      <c r="YQ92" s="22"/>
      <c r="YR92" s="22"/>
      <c r="YS92" s="22"/>
      <c r="YT92" s="22"/>
      <c r="YU92" s="22"/>
      <c r="YV92" s="22"/>
      <c r="YW92" s="22"/>
      <c r="YX92" s="22"/>
      <c r="YY92" s="22"/>
      <c r="YZ92" s="22"/>
      <c r="ZA92" s="22"/>
      <c r="ZB92" s="22"/>
      <c r="ZC92" s="22"/>
      <c r="ZD92" s="22"/>
      <c r="ZE92" s="22"/>
      <c r="ZF92" s="22"/>
      <c r="ZG92" s="22"/>
      <c r="ZH92" s="22"/>
      <c r="ZI92" s="22"/>
      <c r="ZJ92" s="22"/>
      <c r="ZK92" s="22"/>
      <c r="ZL92" s="22"/>
      <c r="ZM92" s="22"/>
      <c r="ZN92" s="22"/>
      <c r="ZO92" s="22"/>
      <c r="ZP92" s="22"/>
      <c r="ZQ92" s="22"/>
      <c r="ZR92" s="22"/>
      <c r="ZS92" s="22"/>
      <c r="ZT92" s="22"/>
      <c r="ZU92" s="22"/>
      <c r="ZV92" s="22"/>
      <c r="ZW92" s="22"/>
      <c r="ZX92" s="22"/>
      <c r="ZY92" s="22"/>
      <c r="ZZ92" s="22"/>
      <c r="AAA92" s="22"/>
      <c r="AAB92" s="22"/>
      <c r="AAC92" s="22"/>
      <c r="AAD92" s="22"/>
      <c r="AAE92" s="22"/>
      <c r="AAF92" s="22"/>
      <c r="AAG92" s="22"/>
      <c r="AAH92" s="22"/>
      <c r="AAI92" s="22"/>
      <c r="AAJ92" s="22"/>
      <c r="AAK92" s="22"/>
      <c r="AAL92" s="22"/>
      <c r="AAM92" s="22"/>
      <c r="AAN92" s="22"/>
      <c r="AAO92" s="22"/>
      <c r="AAP92" s="22"/>
      <c r="AAQ92" s="22"/>
      <c r="AAR92" s="22"/>
      <c r="AAS92" s="22"/>
      <c r="AAT92" s="22"/>
      <c r="AAU92" s="22"/>
      <c r="AAV92" s="22"/>
      <c r="AAW92" s="22"/>
      <c r="AAX92" s="22"/>
      <c r="AAY92" s="22"/>
      <c r="AAZ92" s="22"/>
      <c r="ABA92" s="22"/>
      <c r="ABB92" s="22"/>
      <c r="ABC92" s="22"/>
      <c r="ABD92" s="22"/>
      <c r="ABE92" s="22"/>
      <c r="ABF92" s="22"/>
      <c r="ABG92" s="22"/>
      <c r="ABH92" s="22"/>
      <c r="ABI92" s="22"/>
      <c r="ABJ92" s="22"/>
      <c r="ABK92" s="22"/>
      <c r="ABL92" s="22"/>
      <c r="ABM92" s="22"/>
      <c r="ABN92" s="22"/>
      <c r="ABO92" s="22"/>
      <c r="ABP92" s="22"/>
      <c r="ABQ92" s="22"/>
      <c r="ABR92" s="22"/>
      <c r="ABS92" s="22"/>
      <c r="ABT92" s="22"/>
      <c r="ABU92" s="22"/>
      <c r="ABV92" s="22"/>
      <c r="ABW92" s="22"/>
      <c r="ABX92" s="22"/>
      <c r="ABY92" s="22"/>
      <c r="ABZ92" s="22"/>
      <c r="ACA92" s="22"/>
      <c r="ACB92" s="22"/>
      <c r="ACC92" s="22"/>
      <c r="ACD92" s="22"/>
      <c r="ACE92" s="22"/>
      <c r="ACF92" s="22"/>
      <c r="ACG92" s="22"/>
      <c r="ACH92" s="22"/>
      <c r="ACI92" s="22"/>
      <c r="ACJ92" s="22"/>
      <c r="ACK92" s="22"/>
      <c r="ACL92" s="22"/>
      <c r="ACM92" s="22"/>
      <c r="ACN92" s="22"/>
      <c r="ACO92" s="22"/>
      <c r="ACP92" s="22"/>
      <c r="ACQ92" s="22"/>
      <c r="ACR92" s="22"/>
      <c r="ACS92" s="22"/>
      <c r="ACT92" s="22"/>
      <c r="ACU92" s="22"/>
      <c r="ACV92" s="22"/>
      <c r="ACW92" s="22"/>
      <c r="ACX92" s="22"/>
      <c r="ACY92" s="22"/>
      <c r="ACZ92" s="22"/>
      <c r="ADA92" s="22"/>
      <c r="ADB92" s="22"/>
      <c r="ADC92" s="22"/>
      <c r="ADD92" s="22"/>
      <c r="ADE92" s="22"/>
      <c r="ADF92" s="22"/>
      <c r="ADG92" s="22"/>
      <c r="ADH92" s="22"/>
      <c r="ADI92" s="22"/>
      <c r="ADJ92" s="22"/>
      <c r="ADK92" s="22"/>
      <c r="ADL92" s="22"/>
      <c r="ADM92" s="22"/>
      <c r="ADN92" s="22"/>
      <c r="ADO92" s="22"/>
      <c r="ADP92" s="22"/>
      <c r="ADQ92" s="22"/>
      <c r="ADR92" s="22"/>
      <c r="ADS92" s="22"/>
      <c r="ADT92" s="22"/>
      <c r="ADU92" s="22"/>
      <c r="ADV92" s="22"/>
      <c r="ADW92" s="22"/>
      <c r="ADX92" s="22"/>
      <c r="ADY92" s="22"/>
      <c r="ADZ92" s="22"/>
      <c r="AEA92" s="22"/>
      <c r="AEB92" s="22"/>
      <c r="AEC92" s="22"/>
      <c r="AED92" s="22"/>
      <c r="AEE92" s="22"/>
      <c r="AEF92" s="22"/>
      <c r="AEG92" s="22"/>
      <c r="AEH92" s="22"/>
      <c r="AEI92" s="22"/>
      <c r="AEJ92" s="22"/>
      <c r="AEK92" s="22"/>
      <c r="AEL92" s="22"/>
      <c r="AEM92" s="22"/>
      <c r="AEN92" s="22"/>
      <c r="AEO92" s="22"/>
      <c r="AEP92" s="22"/>
      <c r="AEQ92" s="22"/>
      <c r="AER92" s="22"/>
      <c r="AES92" s="22"/>
      <c r="AET92" s="22"/>
      <c r="AEU92" s="22"/>
      <c r="AEV92" s="22"/>
      <c r="AEW92" s="22"/>
      <c r="AEX92" s="22"/>
      <c r="AEY92" s="22"/>
      <c r="AEZ92" s="22"/>
      <c r="AFA92" s="22"/>
      <c r="AFB92" s="22"/>
      <c r="AFC92" s="22"/>
      <c r="AFD92" s="22"/>
      <c r="AFE92" s="22"/>
      <c r="AFF92" s="22"/>
      <c r="AFG92" s="22"/>
      <c r="AFH92" s="22"/>
      <c r="AFI92" s="22"/>
      <c r="AFJ92" s="22"/>
      <c r="AFK92" s="22"/>
      <c r="AFL92" s="22"/>
      <c r="AFM92" s="22"/>
      <c r="AFN92" s="22"/>
      <c r="AFO92" s="22"/>
      <c r="AFP92" s="22"/>
      <c r="AFQ92" s="22"/>
      <c r="AFR92" s="22"/>
      <c r="AFS92" s="22"/>
      <c r="AFT92" s="22"/>
      <c r="AFU92" s="22"/>
      <c r="AFV92" s="22"/>
      <c r="AFW92" s="22"/>
      <c r="AFX92" s="22"/>
      <c r="AFY92" s="22"/>
      <c r="AFZ92" s="22"/>
      <c r="AGA92" s="22"/>
      <c r="AGB92" s="22"/>
      <c r="AGC92" s="22"/>
      <c r="AGD92" s="22"/>
      <c r="AGE92" s="22"/>
      <c r="AGF92" s="22"/>
      <c r="AGG92" s="22"/>
      <c r="AGH92" s="22"/>
      <c r="AGI92" s="22"/>
      <c r="AGJ92" s="22"/>
      <c r="AGK92" s="22"/>
      <c r="AGL92" s="22"/>
      <c r="AGM92" s="22"/>
      <c r="AGN92" s="22"/>
      <c r="AGO92" s="22"/>
      <c r="AGP92" s="22"/>
      <c r="AGQ92" s="22"/>
      <c r="AGR92" s="22"/>
      <c r="AGS92" s="22"/>
      <c r="AGT92" s="22"/>
      <c r="AGU92" s="22"/>
      <c r="AGV92" s="22"/>
      <c r="AGW92" s="22"/>
      <c r="AGX92" s="22"/>
      <c r="AGY92" s="22"/>
      <c r="AGZ92" s="22"/>
      <c r="AHA92" s="22"/>
      <c r="AHB92" s="22"/>
      <c r="AHC92" s="22"/>
      <c r="AHD92" s="22"/>
      <c r="AHE92" s="22"/>
      <c r="AHF92" s="22"/>
      <c r="AHG92" s="22"/>
      <c r="AHH92" s="22"/>
      <c r="AHI92" s="22"/>
      <c r="AHJ92" s="22"/>
      <c r="AHK92" s="22"/>
      <c r="AHL92" s="22"/>
      <c r="AHM92" s="22"/>
      <c r="AHN92" s="22"/>
      <c r="AHO92" s="22"/>
      <c r="AHP92" s="22"/>
      <c r="AHQ92" s="22"/>
      <c r="AHR92" s="22"/>
      <c r="AHS92" s="22"/>
      <c r="AHT92" s="22"/>
      <c r="AHU92" s="22"/>
      <c r="AHV92" s="22"/>
      <c r="AHW92" s="22"/>
      <c r="AHX92" s="22"/>
      <c r="AHY92" s="22"/>
      <c r="AHZ92" s="22"/>
      <c r="AIA92" s="22"/>
      <c r="AIB92" s="22"/>
      <c r="AIC92" s="22"/>
      <c r="AID92" s="22"/>
      <c r="AIE92" s="22"/>
      <c r="AIF92" s="22"/>
      <c r="AIG92" s="22"/>
      <c r="AIH92" s="22"/>
      <c r="AII92" s="22"/>
      <c r="AIJ92" s="22"/>
      <c r="AIK92" s="22"/>
      <c r="AIL92" s="22"/>
      <c r="AIM92" s="22"/>
      <c r="AIN92" s="22"/>
      <c r="AIO92" s="22"/>
      <c r="AIP92" s="22"/>
      <c r="AIQ92" s="22"/>
      <c r="AIR92" s="22"/>
      <c r="AIS92" s="22"/>
      <c r="AIT92" s="22"/>
      <c r="AIU92" s="22"/>
      <c r="AIV92" s="22"/>
      <c r="AIW92" s="22"/>
      <c r="AIX92" s="22"/>
      <c r="AIY92" s="22"/>
      <c r="AIZ92" s="22"/>
      <c r="AJA92" s="22"/>
      <c r="AJB92" s="22"/>
      <c r="AJC92" s="22"/>
      <c r="AJD92" s="22"/>
      <c r="AJE92" s="22"/>
      <c r="AJF92" s="22"/>
      <c r="AJG92" s="22"/>
      <c r="AJH92" s="22"/>
      <c r="AJI92" s="22"/>
      <c r="AJJ92" s="22"/>
      <c r="AJK92" s="22"/>
      <c r="AJL92" s="22"/>
      <c r="AJM92" s="22"/>
      <c r="AJN92" s="22"/>
      <c r="AJO92" s="22"/>
      <c r="AJP92" s="22"/>
      <c r="AJQ92" s="22"/>
      <c r="AJR92" s="22"/>
      <c r="AJS92" s="22"/>
      <c r="AJT92" s="22"/>
      <c r="AJU92" s="22"/>
      <c r="AJV92" s="22"/>
      <c r="AJW92" s="22"/>
      <c r="AJX92" s="22"/>
      <c r="AJY92" s="22"/>
      <c r="AJZ92" s="22"/>
      <c r="AKA92" s="22"/>
      <c r="AKB92" s="22"/>
      <c r="AKC92" s="22"/>
      <c r="AKD92" s="22"/>
      <c r="AKE92" s="22"/>
      <c r="AKF92" s="22"/>
      <c r="AKG92" s="22"/>
      <c r="AKH92" s="22"/>
      <c r="AKI92" s="22"/>
      <c r="AKJ92" s="22"/>
      <c r="AKK92" s="22"/>
      <c r="AKL92" s="22"/>
      <c r="AKM92" s="22"/>
      <c r="AKN92" s="22"/>
      <c r="AKO92" s="22"/>
      <c r="AKP92" s="22"/>
      <c r="AKQ92" s="22"/>
      <c r="AKR92" s="22"/>
      <c r="AKS92" s="22"/>
      <c r="AKT92" s="22"/>
      <c r="AKU92" s="22"/>
      <c r="AKV92" s="22"/>
      <c r="AKW92" s="22"/>
      <c r="AKX92" s="22"/>
      <c r="AKY92" s="22"/>
      <c r="AKZ92" s="22"/>
      <c r="ALA92" s="22"/>
      <c r="ALB92" s="22"/>
      <c r="ALC92" s="22"/>
      <c r="ALD92" s="22"/>
      <c r="ALE92" s="22"/>
      <c r="ALF92" s="22"/>
      <c r="ALG92" s="22"/>
      <c r="ALH92" s="22"/>
      <c r="ALI92" s="22"/>
      <c r="ALJ92" s="22"/>
      <c r="ALK92" s="22"/>
      <c r="ALL92" s="22"/>
      <c r="ALM92" s="22"/>
      <c r="ALN92" s="22"/>
      <c r="ALO92" s="22"/>
      <c r="ALP92" s="22"/>
      <c r="ALQ92" s="22"/>
      <c r="ALR92" s="22"/>
      <c r="ALS92" s="22"/>
      <c r="ALT92" s="22"/>
      <c r="ALU92" s="22"/>
      <c r="ALV92" s="22"/>
      <c r="ALW92" s="22"/>
      <c r="ALX92" s="22"/>
      <c r="ALY92" s="22"/>
      <c r="ALZ92" s="22"/>
      <c r="AMA92" s="22"/>
      <c r="AMB92" s="22"/>
      <c r="AMC92" s="22"/>
      <c r="AMD92" s="22"/>
      <c r="AME92" s="22"/>
      <c r="AMF92" s="22"/>
      <c r="AMG92" s="22"/>
      <c r="AMH92" s="22"/>
      <c r="AMI92" s="22"/>
      <c r="AMJ92" s="22"/>
      <c r="AMK92" s="22"/>
      <c r="AML92" s="22"/>
      <c r="AMM92" s="22"/>
      <c r="AMN92" s="22"/>
      <c r="AMO92" s="22"/>
      <c r="AMP92" s="22"/>
      <c r="AMQ92" s="22"/>
      <c r="AMR92" s="22"/>
      <c r="AMS92" s="22"/>
      <c r="AMT92" s="22"/>
      <c r="AMU92" s="22"/>
      <c r="AMV92" s="22"/>
      <c r="AMW92" s="22"/>
      <c r="AMX92" s="22"/>
      <c r="AMY92" s="22"/>
      <c r="AMZ92" s="22"/>
      <c r="ANA92" s="22"/>
      <c r="ANB92" s="22"/>
      <c r="ANC92" s="22"/>
      <c r="AND92" s="22"/>
      <c r="ANE92" s="22"/>
      <c r="ANF92" s="22"/>
      <c r="ANG92" s="22"/>
      <c r="ANH92" s="22"/>
      <c r="ANI92" s="22"/>
      <c r="ANJ92" s="22"/>
      <c r="ANK92" s="22"/>
      <c r="ANL92" s="22"/>
      <c r="ANM92" s="22"/>
      <c r="ANN92" s="22"/>
      <c r="ANO92" s="22"/>
      <c r="ANP92" s="22"/>
      <c r="ANQ92" s="22"/>
      <c r="ANR92" s="22"/>
      <c r="ANS92" s="22"/>
      <c r="ANT92" s="22"/>
      <c r="ANU92" s="22"/>
      <c r="ANV92" s="22"/>
      <c r="ANW92" s="22"/>
      <c r="ANX92" s="22"/>
      <c r="ANY92" s="22"/>
      <c r="ANZ92" s="22"/>
      <c r="AOA92" s="22"/>
      <c r="AOB92" s="22"/>
      <c r="AOC92" s="22"/>
      <c r="AOD92" s="22"/>
      <c r="AOE92" s="22"/>
      <c r="AOF92" s="22"/>
      <c r="AOG92" s="22"/>
      <c r="AOH92" s="22"/>
      <c r="AOI92" s="22"/>
      <c r="AOJ92" s="22"/>
      <c r="AOK92" s="22"/>
      <c r="AOL92" s="22"/>
      <c r="AOM92" s="22"/>
      <c r="AON92" s="22"/>
      <c r="AOO92" s="22"/>
      <c r="AOP92" s="22"/>
      <c r="AOQ92" s="22"/>
      <c r="AOR92" s="22"/>
      <c r="AOS92" s="22"/>
      <c r="AOT92" s="22"/>
      <c r="AOU92" s="22"/>
      <c r="AOV92" s="22"/>
      <c r="AOW92" s="22"/>
      <c r="AOX92" s="22"/>
      <c r="AOY92" s="22"/>
      <c r="AOZ92" s="22"/>
      <c r="APA92" s="22"/>
      <c r="APB92" s="22"/>
      <c r="APC92" s="22"/>
      <c r="APD92" s="22"/>
      <c r="APE92" s="22"/>
      <c r="APF92" s="22"/>
      <c r="APG92" s="22"/>
      <c r="APH92" s="22"/>
      <c r="API92" s="22"/>
      <c r="APJ92" s="22"/>
      <c r="APK92" s="22"/>
      <c r="APL92" s="22"/>
      <c r="APM92" s="22"/>
      <c r="APN92" s="22"/>
      <c r="APO92" s="22"/>
      <c r="APP92" s="22"/>
      <c r="APQ92" s="22"/>
      <c r="APR92" s="22"/>
      <c r="APS92" s="22"/>
      <c r="APT92" s="22"/>
      <c r="APU92" s="22"/>
      <c r="APV92" s="22"/>
      <c r="APW92" s="22"/>
      <c r="APX92" s="22"/>
      <c r="APY92" s="22"/>
      <c r="APZ92" s="22"/>
      <c r="AQA92" s="22"/>
      <c r="AQB92" s="22"/>
      <c r="AQC92" s="22"/>
      <c r="AQD92" s="22"/>
      <c r="AQE92" s="22"/>
      <c r="AQF92" s="22"/>
      <c r="AQG92" s="22"/>
      <c r="AQH92" s="22"/>
      <c r="AQI92" s="22"/>
      <c r="AQJ92" s="22"/>
      <c r="AQK92" s="22"/>
      <c r="AQL92" s="22"/>
      <c r="AQM92" s="22"/>
      <c r="AQN92" s="22"/>
      <c r="AQO92" s="22"/>
      <c r="AQP92" s="22"/>
      <c r="AQQ92" s="22"/>
      <c r="AQR92" s="22"/>
      <c r="AQS92" s="22"/>
      <c r="AQT92" s="22"/>
      <c r="AQU92" s="22"/>
      <c r="AQV92" s="22"/>
      <c r="AQW92" s="22"/>
      <c r="AQX92" s="22"/>
      <c r="AQY92" s="22"/>
      <c r="AQZ92" s="22"/>
      <c r="ARA92" s="22"/>
      <c r="ARB92" s="22"/>
      <c r="ARC92" s="22"/>
      <c r="ARD92" s="22"/>
      <c r="ARE92" s="22"/>
      <c r="ARF92" s="22"/>
      <c r="ARG92" s="22"/>
      <c r="ARH92" s="22"/>
      <c r="ARI92" s="22"/>
      <c r="ARJ92" s="22"/>
      <c r="ARK92" s="22"/>
      <c r="ARL92" s="22"/>
      <c r="ARM92" s="22"/>
      <c r="ARN92" s="22"/>
      <c r="ARO92" s="22"/>
      <c r="ARP92" s="22"/>
      <c r="ARQ92" s="22"/>
      <c r="ARR92" s="22"/>
      <c r="ARS92" s="22"/>
      <c r="ART92" s="22"/>
      <c r="ARU92" s="22"/>
      <c r="ARV92" s="22"/>
      <c r="ARW92" s="22"/>
      <c r="ARX92" s="22"/>
      <c r="ARY92" s="22"/>
      <c r="ARZ92" s="22"/>
      <c r="ASA92" s="22"/>
      <c r="ASB92" s="22"/>
      <c r="ASC92" s="22"/>
      <c r="ASD92" s="22"/>
      <c r="ASE92" s="22"/>
      <c r="ASF92" s="22"/>
      <c r="ASG92" s="22"/>
      <c r="ASH92" s="22"/>
      <c r="ASI92" s="22"/>
      <c r="ASJ92" s="22"/>
      <c r="ASK92" s="22"/>
      <c r="ASL92" s="22"/>
      <c r="ASM92" s="22"/>
      <c r="ASN92" s="22"/>
      <c r="ASO92" s="22"/>
      <c r="ASP92" s="22"/>
      <c r="ASQ92" s="22"/>
      <c r="ASR92" s="22"/>
      <c r="ASS92" s="22"/>
      <c r="AST92" s="22"/>
      <c r="ASU92" s="22"/>
      <c r="ASV92" s="22"/>
      <c r="ASW92" s="22"/>
      <c r="ASX92" s="22"/>
      <c r="ASY92" s="22"/>
      <c r="ASZ92" s="22"/>
      <c r="ATA92" s="22"/>
      <c r="ATB92" s="22"/>
      <c r="ATC92" s="22"/>
      <c r="ATD92" s="22"/>
      <c r="ATE92" s="22"/>
      <c r="ATF92" s="22"/>
      <c r="ATG92" s="22"/>
      <c r="ATH92" s="22"/>
      <c r="ATI92" s="22"/>
      <c r="ATJ92" s="22"/>
      <c r="ATK92" s="22"/>
      <c r="ATL92" s="22"/>
      <c r="ATM92" s="22"/>
      <c r="ATN92" s="22"/>
      <c r="ATO92" s="22"/>
      <c r="ATP92" s="22"/>
      <c r="ATQ92" s="22"/>
      <c r="ATR92" s="22"/>
      <c r="ATS92" s="22"/>
      <c r="ATT92" s="22"/>
      <c r="ATU92" s="22"/>
      <c r="ATV92" s="22"/>
      <c r="ATW92" s="22"/>
      <c r="ATX92" s="22"/>
      <c r="ATY92" s="22"/>
      <c r="ATZ92" s="22"/>
      <c r="AUA92" s="22"/>
      <c r="AUB92" s="22"/>
      <c r="AUC92" s="22"/>
      <c r="AUD92" s="22"/>
      <c r="AUE92" s="22"/>
      <c r="AUF92" s="22"/>
      <c r="AUG92" s="22"/>
      <c r="AUH92" s="22"/>
      <c r="AUI92" s="22"/>
      <c r="AUJ92" s="22"/>
      <c r="AUK92" s="22"/>
      <c r="AUL92" s="22"/>
      <c r="AUM92" s="22"/>
      <c r="AUN92" s="22"/>
      <c r="AUO92" s="22"/>
      <c r="AUP92" s="22"/>
      <c r="AUQ92" s="22"/>
      <c r="AUR92" s="22"/>
      <c r="AUS92" s="22"/>
      <c r="AUT92" s="22"/>
      <c r="AUU92" s="22"/>
      <c r="AUV92" s="22"/>
      <c r="AUW92" s="22"/>
      <c r="AUX92" s="22"/>
      <c r="AUY92" s="22"/>
      <c r="AUZ92" s="22"/>
      <c r="AVA92" s="22"/>
      <c r="AVB92" s="22"/>
      <c r="AVC92" s="22"/>
      <c r="AVD92" s="22"/>
      <c r="AVE92" s="22"/>
      <c r="AVF92" s="22"/>
      <c r="AVG92" s="22"/>
      <c r="AVH92" s="22"/>
      <c r="AVI92" s="22"/>
      <c r="AVJ92" s="22"/>
      <c r="AVK92" s="22"/>
      <c r="AVL92" s="22"/>
      <c r="AVM92" s="22"/>
      <c r="AVN92" s="22"/>
      <c r="AVO92" s="22"/>
      <c r="AVP92" s="22"/>
      <c r="AVQ92" s="22"/>
      <c r="AVR92" s="22"/>
      <c r="AVS92" s="22"/>
      <c r="AVT92" s="22"/>
      <c r="AVU92" s="22"/>
      <c r="AVV92" s="22"/>
      <c r="AVW92" s="22"/>
      <c r="AVX92" s="22"/>
      <c r="AVY92" s="22"/>
      <c r="AVZ92" s="22"/>
      <c r="AWA92" s="22"/>
      <c r="AWB92" s="22"/>
      <c r="AWC92" s="22"/>
      <c r="AWD92" s="22"/>
      <c r="AWE92" s="22"/>
      <c r="AWF92" s="22"/>
      <c r="AWG92" s="22"/>
      <c r="AWH92" s="22"/>
      <c r="AWI92" s="22"/>
      <c r="AWJ92" s="22"/>
      <c r="AWK92" s="22"/>
      <c r="AWL92" s="22"/>
      <c r="AWM92" s="22"/>
      <c r="AWN92" s="22"/>
      <c r="AWO92" s="22"/>
      <c r="AWP92" s="22"/>
      <c r="AWQ92" s="22"/>
      <c r="AWR92" s="22"/>
      <c r="AWS92" s="22"/>
      <c r="AWT92" s="22"/>
      <c r="AWU92" s="22"/>
      <c r="AWV92" s="22"/>
      <c r="AWW92" s="22"/>
      <c r="AWX92" s="22"/>
      <c r="AWY92" s="22"/>
      <c r="AWZ92" s="22"/>
      <c r="AXA92" s="22"/>
      <c r="AXB92" s="22"/>
      <c r="AXC92" s="22"/>
      <c r="AXD92" s="22"/>
      <c r="AXE92" s="22"/>
      <c r="AXF92" s="22"/>
      <c r="AXG92" s="22"/>
      <c r="AXH92" s="22"/>
      <c r="AXI92" s="22"/>
      <c r="AXJ92" s="22"/>
      <c r="AXK92" s="22"/>
      <c r="AXL92" s="22"/>
      <c r="AXM92" s="22"/>
      <c r="AXN92" s="22"/>
      <c r="AXO92" s="22"/>
      <c r="AXP92" s="22"/>
      <c r="AXQ92" s="22"/>
      <c r="AXR92" s="22"/>
      <c r="AXS92" s="22"/>
      <c r="AXT92" s="22"/>
      <c r="AXU92" s="22"/>
      <c r="AXV92" s="22"/>
      <c r="AXW92" s="22"/>
      <c r="AXX92" s="22"/>
      <c r="AXY92" s="22"/>
      <c r="AXZ92" s="22"/>
      <c r="AYA92" s="22"/>
      <c r="AYB92" s="22"/>
      <c r="AYC92" s="22"/>
      <c r="AYD92" s="22"/>
      <c r="AYE92" s="22"/>
      <c r="AYF92" s="22"/>
      <c r="AYG92" s="22"/>
      <c r="AYH92" s="22"/>
      <c r="AYI92" s="22"/>
      <c r="AYJ92" s="22"/>
      <c r="AYK92" s="22"/>
      <c r="AYL92" s="22"/>
      <c r="AYM92" s="22"/>
      <c r="AYN92" s="22"/>
      <c r="AYO92" s="22"/>
      <c r="AYP92" s="22"/>
      <c r="AYQ92" s="22"/>
      <c r="AYR92" s="22"/>
      <c r="AYS92" s="22"/>
      <c r="AYT92" s="22"/>
      <c r="AYU92" s="22"/>
      <c r="AYV92" s="22"/>
      <c r="AYW92" s="22"/>
      <c r="AYX92" s="22"/>
      <c r="AYY92" s="22"/>
      <c r="AYZ92" s="22"/>
      <c r="AZA92" s="22"/>
      <c r="AZB92" s="22"/>
      <c r="AZC92" s="22"/>
      <c r="AZD92" s="22"/>
      <c r="AZE92" s="22"/>
      <c r="AZF92" s="22"/>
      <c r="AZG92" s="22"/>
      <c r="AZH92" s="22"/>
      <c r="AZI92" s="22"/>
      <c r="AZJ92" s="22"/>
      <c r="AZK92" s="22"/>
      <c r="AZL92" s="22"/>
      <c r="AZM92" s="22"/>
      <c r="AZN92" s="22"/>
      <c r="AZO92" s="22"/>
      <c r="AZP92" s="22"/>
      <c r="AZQ92" s="22"/>
      <c r="AZR92" s="22"/>
      <c r="AZS92" s="22"/>
      <c r="AZT92" s="22"/>
      <c r="AZU92" s="22"/>
      <c r="AZV92" s="22"/>
      <c r="AZW92" s="22"/>
      <c r="AZX92" s="22"/>
      <c r="AZY92" s="22"/>
      <c r="AZZ92" s="22"/>
      <c r="BAA92" s="22"/>
      <c r="BAB92" s="22"/>
      <c r="BAC92" s="22"/>
      <c r="BAD92" s="22"/>
      <c r="BAE92" s="22"/>
      <c r="BAF92" s="22"/>
      <c r="BAG92" s="22"/>
      <c r="BAH92" s="22"/>
      <c r="BAI92" s="22"/>
      <c r="BAJ92" s="22"/>
      <c r="BAK92" s="22"/>
      <c r="BAL92" s="22"/>
      <c r="BAM92" s="22"/>
      <c r="BAN92" s="22"/>
      <c r="BAO92" s="22"/>
      <c r="BAP92" s="22"/>
      <c r="BAQ92" s="22"/>
      <c r="BAR92" s="22"/>
      <c r="BAS92" s="22"/>
      <c r="BAT92" s="22"/>
      <c r="BAU92" s="22"/>
      <c r="BAV92" s="22"/>
      <c r="BAW92" s="22"/>
      <c r="BAX92" s="22"/>
      <c r="BAY92" s="22"/>
      <c r="BAZ92" s="22"/>
      <c r="BBA92" s="22"/>
      <c r="BBB92" s="22"/>
      <c r="BBC92" s="22"/>
      <c r="BBD92" s="22"/>
      <c r="BBE92" s="22"/>
      <c r="BBF92" s="22"/>
      <c r="BBG92" s="22"/>
      <c r="BBH92" s="22"/>
      <c r="BBI92" s="22"/>
      <c r="BBJ92" s="22"/>
      <c r="BBK92" s="22"/>
      <c r="BBL92" s="22"/>
      <c r="BBM92" s="22"/>
      <c r="BBN92" s="22"/>
      <c r="BBO92" s="22"/>
      <c r="BBP92" s="22"/>
      <c r="BBQ92" s="22"/>
      <c r="BBR92" s="22"/>
      <c r="BBS92" s="22"/>
      <c r="BBT92" s="22"/>
      <c r="BBU92" s="22"/>
      <c r="BBV92" s="22"/>
      <c r="BBW92" s="22"/>
      <c r="BBX92" s="22"/>
      <c r="BBY92" s="22"/>
      <c r="BBZ92" s="22"/>
      <c r="BCA92" s="22"/>
      <c r="BCB92" s="22"/>
      <c r="BCC92" s="22"/>
      <c r="BCD92" s="22"/>
      <c r="BCE92" s="22"/>
      <c r="BCF92" s="22"/>
      <c r="BCG92" s="22"/>
      <c r="BCH92" s="22"/>
      <c r="BCI92" s="22"/>
      <c r="BCJ92" s="22"/>
      <c r="BCK92" s="22"/>
      <c r="BCL92" s="22"/>
      <c r="BCM92" s="22"/>
      <c r="BCN92" s="22"/>
      <c r="BCO92" s="22"/>
      <c r="BCP92" s="22"/>
      <c r="BCQ92" s="22"/>
      <c r="BCR92" s="22"/>
      <c r="BCS92" s="22"/>
      <c r="BCT92" s="22"/>
      <c r="BCU92" s="22"/>
      <c r="BCV92" s="22"/>
      <c r="BCW92" s="22"/>
      <c r="BCX92" s="22"/>
      <c r="BCY92" s="22"/>
      <c r="BCZ92" s="22"/>
      <c r="BDA92" s="22"/>
      <c r="BDB92" s="22"/>
      <c r="BDC92" s="22"/>
      <c r="BDD92" s="22"/>
      <c r="BDE92" s="22"/>
      <c r="BDF92" s="22"/>
      <c r="BDG92" s="22"/>
      <c r="BDH92" s="22"/>
      <c r="BDI92" s="22"/>
      <c r="BDJ92" s="22"/>
      <c r="BDK92" s="22"/>
      <c r="BDL92" s="22"/>
      <c r="BDM92" s="22"/>
      <c r="BDN92" s="22"/>
      <c r="BDO92" s="22"/>
      <c r="BDP92" s="22"/>
      <c r="BDQ92" s="22"/>
      <c r="BDR92" s="22"/>
      <c r="BDS92" s="22"/>
      <c r="BDT92" s="22"/>
      <c r="BDU92" s="22"/>
      <c r="BDV92" s="22"/>
      <c r="BDW92" s="22"/>
      <c r="BDX92" s="22"/>
      <c r="BDY92" s="22"/>
      <c r="BDZ92" s="22"/>
      <c r="BEA92" s="22"/>
      <c r="BEB92" s="22"/>
      <c r="BEC92" s="22"/>
      <c r="BED92" s="22"/>
      <c r="BEE92" s="22"/>
      <c r="BEF92" s="22"/>
      <c r="BEG92" s="22"/>
      <c r="BEH92" s="22"/>
      <c r="BEI92" s="22"/>
      <c r="BEJ92" s="22"/>
      <c r="BEK92" s="22"/>
      <c r="BEL92" s="22"/>
      <c r="BEM92" s="22"/>
      <c r="BEN92" s="22"/>
      <c r="BEO92" s="22"/>
      <c r="BEP92" s="22"/>
      <c r="BEQ92" s="22"/>
      <c r="BER92" s="22"/>
      <c r="BES92" s="22"/>
      <c r="BET92" s="22"/>
      <c r="BEU92" s="22"/>
      <c r="BEV92" s="22"/>
      <c r="BEW92" s="22"/>
      <c r="BEX92" s="22"/>
      <c r="BEY92" s="22"/>
      <c r="BEZ92" s="22"/>
      <c r="BFA92" s="22"/>
      <c r="BFB92" s="22"/>
      <c r="BFC92" s="22"/>
      <c r="BFD92" s="22"/>
      <c r="BFE92" s="22"/>
      <c r="BFF92" s="22"/>
      <c r="BFG92" s="22"/>
      <c r="BFH92" s="22"/>
      <c r="BFI92" s="22"/>
      <c r="BFJ92" s="22"/>
      <c r="BFK92" s="22"/>
      <c r="BFL92" s="22"/>
      <c r="BFM92" s="22"/>
      <c r="BFN92" s="22"/>
      <c r="BFO92" s="22"/>
      <c r="BFP92" s="22"/>
      <c r="BFQ92" s="22"/>
      <c r="BFR92" s="22"/>
      <c r="BFS92" s="22"/>
      <c r="BFT92" s="22"/>
      <c r="BFU92" s="22"/>
      <c r="BFV92" s="22"/>
      <c r="BFW92" s="22"/>
    </row>
    <row r="93" spans="1:1531" s="208" customFormat="1" ht="46.15" customHeight="1" x14ac:dyDescent="0.2">
      <c r="A93" s="305" t="s">
        <v>528</v>
      </c>
      <c r="B93" s="286"/>
      <c r="C93" s="122" t="s">
        <v>558</v>
      </c>
      <c r="D93" s="286"/>
      <c r="E93" s="286" t="s">
        <v>836</v>
      </c>
      <c r="F93" s="286"/>
      <c r="G93" s="286" t="s">
        <v>536</v>
      </c>
      <c r="H93" s="174"/>
      <c r="I93" s="281">
        <v>349</v>
      </c>
      <c r="J93" s="176"/>
      <c r="K93" s="122" t="s">
        <v>117</v>
      </c>
      <c r="L93" s="176"/>
      <c r="M93" s="176"/>
      <c r="N93" s="176"/>
      <c r="O93" s="176">
        <v>2015</v>
      </c>
      <c r="P93" s="162" t="s">
        <v>750</v>
      </c>
      <c r="Q93" s="176"/>
      <c r="R93" s="176"/>
      <c r="S93" s="282"/>
      <c r="T93" s="176"/>
      <c r="U93" s="176"/>
      <c r="V93" s="176"/>
      <c r="W93" s="176"/>
      <c r="X93" s="176"/>
      <c r="Y93" s="283"/>
      <c r="Z93" s="176"/>
      <c r="AA93" s="282"/>
      <c r="AB93" s="176"/>
      <c r="AC93" s="176"/>
      <c r="AD93" s="176"/>
      <c r="AE93" s="176"/>
      <c r="AF93" s="176"/>
      <c r="AG93" s="176"/>
      <c r="AH93" s="176"/>
      <c r="AI93" s="176"/>
      <c r="AJ93" s="176"/>
      <c r="AK93" s="176"/>
      <c r="AL93" s="176">
        <v>26</v>
      </c>
      <c r="AM93" s="176"/>
      <c r="AN93" s="284">
        <v>9074</v>
      </c>
      <c r="AU93" s="285"/>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c r="IW93" s="22"/>
      <c r="IX93" s="22"/>
      <c r="IY93" s="22"/>
      <c r="IZ93" s="22"/>
      <c r="JA93" s="22"/>
      <c r="JB93" s="22"/>
      <c r="JC93" s="22"/>
      <c r="JD93" s="22"/>
      <c r="JE93" s="22"/>
      <c r="JF93" s="22"/>
      <c r="JG93" s="22"/>
      <c r="JH93" s="22"/>
      <c r="JI93" s="22"/>
      <c r="JJ93" s="22"/>
      <c r="JK93" s="22"/>
      <c r="JL93" s="22"/>
      <c r="JM93" s="22"/>
      <c r="JN93" s="22"/>
      <c r="JO93" s="22"/>
      <c r="JP93" s="22"/>
      <c r="JQ93" s="22"/>
      <c r="JR93" s="22"/>
      <c r="JS93" s="22"/>
      <c r="JT93" s="22"/>
      <c r="JU93" s="22"/>
      <c r="JV93" s="22"/>
      <c r="JW93" s="22"/>
      <c r="JX93" s="22"/>
      <c r="JY93" s="22"/>
      <c r="JZ93" s="22"/>
      <c r="KA93" s="22"/>
      <c r="KB93" s="22"/>
      <c r="KC93" s="22"/>
      <c r="KD93" s="22"/>
      <c r="KE93" s="22"/>
      <c r="KF93" s="22"/>
      <c r="KG93" s="22"/>
      <c r="KH93" s="22"/>
      <c r="KI93" s="22"/>
      <c r="KJ93" s="22"/>
      <c r="KK93" s="22"/>
      <c r="KL93" s="22"/>
      <c r="KM93" s="22"/>
      <c r="KN93" s="22"/>
      <c r="KO93" s="22"/>
      <c r="KP93" s="22"/>
      <c r="KQ93" s="22"/>
      <c r="KR93" s="22"/>
      <c r="KS93" s="22"/>
      <c r="KT93" s="22"/>
      <c r="KU93" s="22"/>
      <c r="KV93" s="22"/>
      <c r="KW93" s="22"/>
      <c r="KX93" s="22"/>
      <c r="KY93" s="22"/>
      <c r="KZ93" s="22"/>
      <c r="LA93" s="22"/>
      <c r="LB93" s="22"/>
      <c r="LC93" s="22"/>
      <c r="LD93" s="22"/>
      <c r="LE93" s="22"/>
      <c r="LF93" s="22"/>
      <c r="LG93" s="22"/>
      <c r="LH93" s="22"/>
      <c r="LI93" s="22"/>
      <c r="LJ93" s="22"/>
      <c r="LK93" s="22"/>
      <c r="LL93" s="22"/>
      <c r="LM93" s="22"/>
      <c r="LN93" s="22"/>
      <c r="LO93" s="22"/>
      <c r="LP93" s="22"/>
      <c r="LQ93" s="22"/>
      <c r="LR93" s="22"/>
      <c r="LS93" s="22"/>
      <c r="LT93" s="22"/>
      <c r="LU93" s="22"/>
      <c r="LV93" s="22"/>
      <c r="LW93" s="22"/>
      <c r="LX93" s="22"/>
      <c r="LY93" s="22"/>
      <c r="LZ93" s="22"/>
      <c r="MA93" s="22"/>
      <c r="MB93" s="22"/>
      <c r="MC93" s="22"/>
      <c r="MD93" s="22"/>
      <c r="ME93" s="22"/>
      <c r="MF93" s="22"/>
      <c r="MG93" s="22"/>
      <c r="MH93" s="22"/>
      <c r="MI93" s="22"/>
      <c r="MJ93" s="22"/>
      <c r="MK93" s="22"/>
      <c r="ML93" s="22"/>
      <c r="MM93" s="22"/>
      <c r="MN93" s="22"/>
      <c r="MO93" s="22"/>
      <c r="MP93" s="22"/>
      <c r="MQ93" s="22"/>
      <c r="MR93" s="22"/>
      <c r="MS93" s="22"/>
      <c r="MT93" s="22"/>
      <c r="MU93" s="22"/>
      <c r="MV93" s="22"/>
      <c r="MW93" s="22"/>
      <c r="MX93" s="22"/>
      <c r="MY93" s="22"/>
      <c r="MZ93" s="22"/>
      <c r="NA93" s="22"/>
      <c r="NB93" s="22"/>
      <c r="NC93" s="22"/>
      <c r="ND93" s="22"/>
      <c r="NE93" s="22"/>
      <c r="NF93" s="22"/>
      <c r="NG93" s="22"/>
      <c r="NH93" s="22"/>
      <c r="NI93" s="22"/>
      <c r="NJ93" s="22"/>
      <c r="NK93" s="22"/>
      <c r="NL93" s="22"/>
      <c r="NM93" s="22"/>
      <c r="NN93" s="22"/>
      <c r="NO93" s="22"/>
      <c r="NP93" s="22"/>
      <c r="NQ93" s="22"/>
      <c r="NR93" s="22"/>
      <c r="NS93" s="22"/>
      <c r="NT93" s="22"/>
      <c r="NU93" s="22"/>
      <c r="NV93" s="22"/>
      <c r="NW93" s="22"/>
      <c r="NX93" s="22"/>
      <c r="NY93" s="22"/>
      <c r="NZ93" s="22"/>
      <c r="OA93" s="22"/>
      <c r="OB93" s="22"/>
      <c r="OC93" s="22"/>
      <c r="OD93" s="22"/>
      <c r="OE93" s="22"/>
      <c r="OF93" s="22"/>
      <c r="OG93" s="22"/>
      <c r="OH93" s="22"/>
      <c r="OI93" s="22"/>
      <c r="OJ93" s="22"/>
      <c r="OK93" s="22"/>
      <c r="OL93" s="22"/>
      <c r="OM93" s="22"/>
      <c r="ON93" s="22"/>
      <c r="OO93" s="22"/>
      <c r="OP93" s="22"/>
      <c r="OQ93" s="22"/>
      <c r="OR93" s="22"/>
      <c r="OS93" s="22"/>
      <c r="OT93" s="22"/>
      <c r="OU93" s="22"/>
      <c r="OV93" s="22"/>
      <c r="OW93" s="22"/>
      <c r="OX93" s="22"/>
      <c r="OY93" s="22"/>
      <c r="OZ93" s="22"/>
      <c r="PA93" s="22"/>
      <c r="PB93" s="22"/>
      <c r="PC93" s="22"/>
      <c r="PD93" s="22"/>
      <c r="PE93" s="22"/>
      <c r="PF93" s="22"/>
      <c r="PG93" s="22"/>
      <c r="PH93" s="22"/>
      <c r="PI93" s="22"/>
      <c r="PJ93" s="22"/>
      <c r="PK93" s="22"/>
      <c r="PL93" s="22"/>
      <c r="PM93" s="22"/>
      <c r="PN93" s="22"/>
      <c r="PO93" s="22"/>
      <c r="PP93" s="22"/>
      <c r="PQ93" s="22"/>
      <c r="PR93" s="22"/>
      <c r="PS93" s="22"/>
      <c r="PT93" s="22"/>
      <c r="PU93" s="22"/>
      <c r="PV93" s="22"/>
      <c r="PW93" s="22"/>
      <c r="PX93" s="22"/>
      <c r="PY93" s="22"/>
      <c r="PZ93" s="22"/>
      <c r="QA93" s="22"/>
      <c r="QB93" s="22"/>
      <c r="QC93" s="22"/>
      <c r="QD93" s="22"/>
      <c r="QE93" s="22"/>
      <c r="QF93" s="22"/>
      <c r="QG93" s="22"/>
      <c r="QH93" s="22"/>
      <c r="QI93" s="22"/>
      <c r="QJ93" s="22"/>
      <c r="QK93" s="22"/>
      <c r="QL93" s="22"/>
      <c r="QM93" s="22"/>
      <c r="QN93" s="22"/>
      <c r="QO93" s="22"/>
      <c r="QP93" s="22"/>
      <c r="QQ93" s="22"/>
      <c r="QR93" s="22"/>
      <c r="QS93" s="22"/>
      <c r="QT93" s="22"/>
      <c r="QU93" s="22"/>
      <c r="QV93" s="22"/>
      <c r="QW93" s="22"/>
      <c r="QX93" s="22"/>
      <c r="QY93" s="22"/>
      <c r="QZ93" s="22"/>
      <c r="RA93" s="22"/>
      <c r="RB93" s="22"/>
      <c r="RC93" s="22"/>
      <c r="RD93" s="22"/>
      <c r="RE93" s="22"/>
      <c r="RF93" s="22"/>
      <c r="RG93" s="22"/>
      <c r="RH93" s="22"/>
      <c r="RI93" s="22"/>
      <c r="RJ93" s="22"/>
      <c r="RK93" s="22"/>
      <c r="RL93" s="22"/>
      <c r="RM93" s="22"/>
      <c r="RN93" s="22"/>
      <c r="RO93" s="22"/>
      <c r="RP93" s="22"/>
      <c r="RQ93" s="22"/>
      <c r="RR93" s="22"/>
      <c r="RS93" s="22"/>
      <c r="RT93" s="22"/>
      <c r="RU93" s="22"/>
      <c r="RV93" s="22"/>
      <c r="RW93" s="22"/>
      <c r="RX93" s="22"/>
      <c r="RY93" s="22"/>
      <c r="RZ93" s="22"/>
      <c r="SA93" s="22"/>
      <c r="SB93" s="22"/>
      <c r="SC93" s="22"/>
      <c r="SD93" s="22"/>
      <c r="SE93" s="22"/>
      <c r="SF93" s="22"/>
      <c r="SG93" s="22"/>
      <c r="SH93" s="22"/>
      <c r="SI93" s="22"/>
      <c r="SJ93" s="22"/>
      <c r="SK93" s="22"/>
      <c r="SL93" s="22"/>
      <c r="SM93" s="22"/>
      <c r="SN93" s="22"/>
      <c r="SO93" s="22"/>
      <c r="SP93" s="22"/>
      <c r="SQ93" s="22"/>
      <c r="SR93" s="22"/>
      <c r="SS93" s="22"/>
      <c r="ST93" s="22"/>
      <c r="SU93" s="22"/>
      <c r="SV93" s="22"/>
      <c r="SW93" s="22"/>
      <c r="SX93" s="22"/>
      <c r="SY93" s="22"/>
      <c r="SZ93" s="22"/>
      <c r="TA93" s="22"/>
      <c r="TB93" s="22"/>
      <c r="TC93" s="22"/>
      <c r="TD93" s="22"/>
      <c r="TE93" s="22"/>
      <c r="TF93" s="22"/>
      <c r="TG93" s="22"/>
      <c r="TH93" s="22"/>
      <c r="TI93" s="22"/>
      <c r="TJ93" s="22"/>
      <c r="TK93" s="22"/>
      <c r="TL93" s="22"/>
      <c r="TM93" s="22"/>
      <c r="TN93" s="22"/>
      <c r="TO93" s="22"/>
      <c r="TP93" s="22"/>
      <c r="TQ93" s="22"/>
      <c r="TR93" s="22"/>
      <c r="TS93" s="22"/>
      <c r="TT93" s="22"/>
      <c r="TU93" s="22"/>
      <c r="TV93" s="22"/>
      <c r="TW93" s="22"/>
      <c r="TX93" s="22"/>
      <c r="TY93" s="22"/>
      <c r="TZ93" s="22"/>
      <c r="UA93" s="22"/>
      <c r="UB93" s="22"/>
      <c r="UC93" s="22"/>
      <c r="UD93" s="22"/>
      <c r="UE93" s="22"/>
      <c r="UF93" s="22"/>
      <c r="UG93" s="22"/>
      <c r="UH93" s="22"/>
      <c r="UI93" s="22"/>
      <c r="UJ93" s="22"/>
      <c r="UK93" s="22"/>
      <c r="UL93" s="22"/>
      <c r="UM93" s="22"/>
      <c r="UN93" s="22"/>
      <c r="UO93" s="22"/>
      <c r="UP93" s="22"/>
      <c r="UQ93" s="22"/>
      <c r="UR93" s="22"/>
      <c r="US93" s="22"/>
      <c r="UT93" s="22"/>
      <c r="UU93" s="22"/>
      <c r="UV93" s="22"/>
      <c r="UW93" s="22"/>
      <c r="UX93" s="22"/>
      <c r="UY93" s="22"/>
      <c r="UZ93" s="22"/>
      <c r="VA93" s="22"/>
      <c r="VB93" s="22"/>
      <c r="VC93" s="22"/>
      <c r="VD93" s="22"/>
      <c r="VE93" s="22"/>
      <c r="VF93" s="22"/>
      <c r="VG93" s="22"/>
      <c r="VH93" s="22"/>
      <c r="VI93" s="22"/>
      <c r="VJ93" s="22"/>
      <c r="VK93" s="22"/>
      <c r="VL93" s="22"/>
      <c r="VM93" s="22"/>
      <c r="VN93" s="22"/>
      <c r="VO93" s="22"/>
      <c r="VP93" s="22"/>
      <c r="VQ93" s="22"/>
      <c r="VR93" s="22"/>
      <c r="VS93" s="22"/>
      <c r="VT93" s="22"/>
      <c r="VU93" s="22"/>
      <c r="VV93" s="22"/>
      <c r="VW93" s="22"/>
      <c r="VX93" s="22"/>
      <c r="VY93" s="22"/>
      <c r="VZ93" s="22"/>
      <c r="WA93" s="22"/>
      <c r="WB93" s="22"/>
      <c r="WC93" s="22"/>
      <c r="WD93" s="22"/>
      <c r="WE93" s="22"/>
      <c r="WF93" s="22"/>
      <c r="WG93" s="22"/>
      <c r="WH93" s="22"/>
      <c r="WI93" s="22"/>
      <c r="WJ93" s="22"/>
      <c r="WK93" s="22"/>
      <c r="WL93" s="22"/>
      <c r="WM93" s="22"/>
      <c r="WN93" s="22"/>
      <c r="WO93" s="22"/>
      <c r="WP93" s="22"/>
      <c r="WQ93" s="22"/>
      <c r="WR93" s="22"/>
      <c r="WS93" s="22"/>
      <c r="WT93" s="22"/>
      <c r="WU93" s="22"/>
      <c r="WV93" s="22"/>
      <c r="WW93" s="22"/>
      <c r="WX93" s="22"/>
      <c r="WY93" s="22"/>
      <c r="WZ93" s="22"/>
      <c r="XA93" s="22"/>
      <c r="XB93" s="22"/>
      <c r="XC93" s="22"/>
      <c r="XD93" s="22"/>
      <c r="XE93" s="22"/>
      <c r="XF93" s="22"/>
      <c r="XG93" s="22"/>
      <c r="XH93" s="22"/>
      <c r="XI93" s="22"/>
      <c r="XJ93" s="22"/>
      <c r="XK93" s="22"/>
      <c r="XL93" s="22"/>
      <c r="XM93" s="22"/>
      <c r="XN93" s="22"/>
      <c r="XO93" s="22"/>
      <c r="XP93" s="22"/>
      <c r="XQ93" s="22"/>
      <c r="XR93" s="22"/>
      <c r="XS93" s="22"/>
      <c r="XT93" s="22"/>
      <c r="XU93" s="22"/>
      <c r="XV93" s="22"/>
      <c r="XW93" s="22"/>
      <c r="XX93" s="22"/>
      <c r="XY93" s="22"/>
      <c r="XZ93" s="22"/>
      <c r="YA93" s="22"/>
      <c r="YB93" s="22"/>
      <c r="YC93" s="22"/>
      <c r="YD93" s="22"/>
      <c r="YE93" s="22"/>
      <c r="YF93" s="22"/>
      <c r="YG93" s="22"/>
      <c r="YH93" s="22"/>
      <c r="YI93" s="22"/>
      <c r="YJ93" s="22"/>
      <c r="YK93" s="22"/>
      <c r="YL93" s="22"/>
      <c r="YM93" s="22"/>
      <c r="YN93" s="22"/>
      <c r="YO93" s="22"/>
      <c r="YP93" s="22"/>
      <c r="YQ93" s="22"/>
      <c r="YR93" s="22"/>
      <c r="YS93" s="22"/>
      <c r="YT93" s="22"/>
      <c r="YU93" s="22"/>
      <c r="YV93" s="22"/>
      <c r="YW93" s="22"/>
      <c r="YX93" s="22"/>
      <c r="YY93" s="22"/>
      <c r="YZ93" s="22"/>
      <c r="ZA93" s="22"/>
      <c r="ZB93" s="22"/>
      <c r="ZC93" s="22"/>
      <c r="ZD93" s="22"/>
      <c r="ZE93" s="22"/>
      <c r="ZF93" s="22"/>
      <c r="ZG93" s="22"/>
      <c r="ZH93" s="22"/>
      <c r="ZI93" s="22"/>
      <c r="ZJ93" s="22"/>
      <c r="ZK93" s="22"/>
      <c r="ZL93" s="22"/>
      <c r="ZM93" s="22"/>
      <c r="ZN93" s="22"/>
      <c r="ZO93" s="22"/>
      <c r="ZP93" s="22"/>
      <c r="ZQ93" s="22"/>
      <c r="ZR93" s="22"/>
      <c r="ZS93" s="22"/>
      <c r="ZT93" s="22"/>
      <c r="ZU93" s="22"/>
      <c r="ZV93" s="22"/>
      <c r="ZW93" s="22"/>
      <c r="ZX93" s="22"/>
      <c r="ZY93" s="22"/>
      <c r="ZZ93" s="22"/>
      <c r="AAA93" s="22"/>
      <c r="AAB93" s="22"/>
      <c r="AAC93" s="22"/>
      <c r="AAD93" s="22"/>
      <c r="AAE93" s="22"/>
      <c r="AAF93" s="22"/>
      <c r="AAG93" s="22"/>
      <c r="AAH93" s="22"/>
      <c r="AAI93" s="22"/>
      <c r="AAJ93" s="22"/>
      <c r="AAK93" s="22"/>
      <c r="AAL93" s="22"/>
      <c r="AAM93" s="22"/>
      <c r="AAN93" s="22"/>
      <c r="AAO93" s="22"/>
      <c r="AAP93" s="22"/>
      <c r="AAQ93" s="22"/>
      <c r="AAR93" s="22"/>
      <c r="AAS93" s="22"/>
      <c r="AAT93" s="22"/>
      <c r="AAU93" s="22"/>
      <c r="AAV93" s="22"/>
      <c r="AAW93" s="22"/>
      <c r="AAX93" s="22"/>
      <c r="AAY93" s="22"/>
      <c r="AAZ93" s="22"/>
      <c r="ABA93" s="22"/>
      <c r="ABB93" s="22"/>
      <c r="ABC93" s="22"/>
      <c r="ABD93" s="22"/>
      <c r="ABE93" s="22"/>
      <c r="ABF93" s="22"/>
      <c r="ABG93" s="22"/>
      <c r="ABH93" s="22"/>
      <c r="ABI93" s="22"/>
      <c r="ABJ93" s="22"/>
      <c r="ABK93" s="22"/>
      <c r="ABL93" s="22"/>
      <c r="ABM93" s="22"/>
      <c r="ABN93" s="22"/>
      <c r="ABO93" s="22"/>
      <c r="ABP93" s="22"/>
      <c r="ABQ93" s="22"/>
      <c r="ABR93" s="22"/>
      <c r="ABS93" s="22"/>
      <c r="ABT93" s="22"/>
      <c r="ABU93" s="22"/>
      <c r="ABV93" s="22"/>
      <c r="ABW93" s="22"/>
      <c r="ABX93" s="22"/>
      <c r="ABY93" s="22"/>
      <c r="ABZ93" s="22"/>
      <c r="ACA93" s="22"/>
      <c r="ACB93" s="22"/>
      <c r="ACC93" s="22"/>
      <c r="ACD93" s="22"/>
      <c r="ACE93" s="22"/>
      <c r="ACF93" s="22"/>
      <c r="ACG93" s="22"/>
      <c r="ACH93" s="22"/>
      <c r="ACI93" s="22"/>
      <c r="ACJ93" s="22"/>
      <c r="ACK93" s="22"/>
      <c r="ACL93" s="22"/>
      <c r="ACM93" s="22"/>
      <c r="ACN93" s="22"/>
      <c r="ACO93" s="22"/>
      <c r="ACP93" s="22"/>
      <c r="ACQ93" s="22"/>
      <c r="ACR93" s="22"/>
      <c r="ACS93" s="22"/>
      <c r="ACT93" s="22"/>
      <c r="ACU93" s="22"/>
      <c r="ACV93" s="22"/>
      <c r="ACW93" s="22"/>
      <c r="ACX93" s="22"/>
      <c r="ACY93" s="22"/>
      <c r="ACZ93" s="22"/>
      <c r="ADA93" s="22"/>
      <c r="ADB93" s="22"/>
      <c r="ADC93" s="22"/>
      <c r="ADD93" s="22"/>
      <c r="ADE93" s="22"/>
      <c r="ADF93" s="22"/>
      <c r="ADG93" s="22"/>
      <c r="ADH93" s="22"/>
      <c r="ADI93" s="22"/>
      <c r="ADJ93" s="22"/>
      <c r="ADK93" s="22"/>
      <c r="ADL93" s="22"/>
      <c r="ADM93" s="22"/>
      <c r="ADN93" s="22"/>
      <c r="ADO93" s="22"/>
      <c r="ADP93" s="22"/>
      <c r="ADQ93" s="22"/>
      <c r="ADR93" s="22"/>
      <c r="ADS93" s="22"/>
      <c r="ADT93" s="22"/>
      <c r="ADU93" s="22"/>
      <c r="ADV93" s="22"/>
      <c r="ADW93" s="22"/>
      <c r="ADX93" s="22"/>
      <c r="ADY93" s="22"/>
      <c r="ADZ93" s="22"/>
      <c r="AEA93" s="22"/>
      <c r="AEB93" s="22"/>
      <c r="AEC93" s="22"/>
      <c r="AED93" s="22"/>
      <c r="AEE93" s="22"/>
      <c r="AEF93" s="22"/>
      <c r="AEG93" s="22"/>
      <c r="AEH93" s="22"/>
      <c r="AEI93" s="22"/>
      <c r="AEJ93" s="22"/>
      <c r="AEK93" s="22"/>
      <c r="AEL93" s="22"/>
      <c r="AEM93" s="22"/>
      <c r="AEN93" s="22"/>
      <c r="AEO93" s="22"/>
      <c r="AEP93" s="22"/>
      <c r="AEQ93" s="22"/>
      <c r="AER93" s="22"/>
      <c r="AES93" s="22"/>
      <c r="AET93" s="22"/>
      <c r="AEU93" s="22"/>
      <c r="AEV93" s="22"/>
      <c r="AEW93" s="22"/>
      <c r="AEX93" s="22"/>
      <c r="AEY93" s="22"/>
      <c r="AEZ93" s="22"/>
      <c r="AFA93" s="22"/>
      <c r="AFB93" s="22"/>
      <c r="AFC93" s="22"/>
      <c r="AFD93" s="22"/>
      <c r="AFE93" s="22"/>
      <c r="AFF93" s="22"/>
      <c r="AFG93" s="22"/>
      <c r="AFH93" s="22"/>
      <c r="AFI93" s="22"/>
      <c r="AFJ93" s="22"/>
      <c r="AFK93" s="22"/>
      <c r="AFL93" s="22"/>
      <c r="AFM93" s="22"/>
      <c r="AFN93" s="22"/>
      <c r="AFO93" s="22"/>
      <c r="AFP93" s="22"/>
      <c r="AFQ93" s="22"/>
      <c r="AFR93" s="22"/>
      <c r="AFS93" s="22"/>
      <c r="AFT93" s="22"/>
      <c r="AFU93" s="22"/>
      <c r="AFV93" s="22"/>
      <c r="AFW93" s="22"/>
      <c r="AFX93" s="22"/>
      <c r="AFY93" s="22"/>
      <c r="AFZ93" s="22"/>
      <c r="AGA93" s="22"/>
      <c r="AGB93" s="22"/>
      <c r="AGC93" s="22"/>
      <c r="AGD93" s="22"/>
      <c r="AGE93" s="22"/>
      <c r="AGF93" s="22"/>
      <c r="AGG93" s="22"/>
      <c r="AGH93" s="22"/>
      <c r="AGI93" s="22"/>
      <c r="AGJ93" s="22"/>
      <c r="AGK93" s="22"/>
      <c r="AGL93" s="22"/>
      <c r="AGM93" s="22"/>
      <c r="AGN93" s="22"/>
      <c r="AGO93" s="22"/>
      <c r="AGP93" s="22"/>
      <c r="AGQ93" s="22"/>
      <c r="AGR93" s="22"/>
      <c r="AGS93" s="22"/>
      <c r="AGT93" s="22"/>
      <c r="AGU93" s="22"/>
      <c r="AGV93" s="22"/>
      <c r="AGW93" s="22"/>
      <c r="AGX93" s="22"/>
      <c r="AGY93" s="22"/>
      <c r="AGZ93" s="22"/>
      <c r="AHA93" s="22"/>
      <c r="AHB93" s="22"/>
      <c r="AHC93" s="22"/>
      <c r="AHD93" s="22"/>
      <c r="AHE93" s="22"/>
      <c r="AHF93" s="22"/>
      <c r="AHG93" s="22"/>
      <c r="AHH93" s="22"/>
      <c r="AHI93" s="22"/>
      <c r="AHJ93" s="22"/>
      <c r="AHK93" s="22"/>
      <c r="AHL93" s="22"/>
      <c r="AHM93" s="22"/>
      <c r="AHN93" s="22"/>
      <c r="AHO93" s="22"/>
      <c r="AHP93" s="22"/>
      <c r="AHQ93" s="22"/>
      <c r="AHR93" s="22"/>
      <c r="AHS93" s="22"/>
      <c r="AHT93" s="22"/>
      <c r="AHU93" s="22"/>
      <c r="AHV93" s="22"/>
      <c r="AHW93" s="22"/>
      <c r="AHX93" s="22"/>
      <c r="AHY93" s="22"/>
      <c r="AHZ93" s="22"/>
      <c r="AIA93" s="22"/>
      <c r="AIB93" s="22"/>
      <c r="AIC93" s="22"/>
      <c r="AID93" s="22"/>
      <c r="AIE93" s="22"/>
      <c r="AIF93" s="22"/>
      <c r="AIG93" s="22"/>
      <c r="AIH93" s="22"/>
      <c r="AII93" s="22"/>
      <c r="AIJ93" s="22"/>
      <c r="AIK93" s="22"/>
      <c r="AIL93" s="22"/>
      <c r="AIM93" s="22"/>
      <c r="AIN93" s="22"/>
      <c r="AIO93" s="22"/>
      <c r="AIP93" s="22"/>
      <c r="AIQ93" s="22"/>
      <c r="AIR93" s="22"/>
      <c r="AIS93" s="22"/>
      <c r="AIT93" s="22"/>
      <c r="AIU93" s="22"/>
      <c r="AIV93" s="22"/>
      <c r="AIW93" s="22"/>
      <c r="AIX93" s="22"/>
      <c r="AIY93" s="22"/>
      <c r="AIZ93" s="22"/>
      <c r="AJA93" s="22"/>
      <c r="AJB93" s="22"/>
      <c r="AJC93" s="22"/>
      <c r="AJD93" s="22"/>
      <c r="AJE93" s="22"/>
      <c r="AJF93" s="22"/>
      <c r="AJG93" s="22"/>
      <c r="AJH93" s="22"/>
      <c r="AJI93" s="22"/>
      <c r="AJJ93" s="22"/>
      <c r="AJK93" s="22"/>
      <c r="AJL93" s="22"/>
      <c r="AJM93" s="22"/>
      <c r="AJN93" s="22"/>
      <c r="AJO93" s="22"/>
      <c r="AJP93" s="22"/>
      <c r="AJQ93" s="22"/>
      <c r="AJR93" s="22"/>
      <c r="AJS93" s="22"/>
      <c r="AJT93" s="22"/>
      <c r="AJU93" s="22"/>
      <c r="AJV93" s="22"/>
      <c r="AJW93" s="22"/>
      <c r="AJX93" s="22"/>
      <c r="AJY93" s="22"/>
      <c r="AJZ93" s="22"/>
      <c r="AKA93" s="22"/>
      <c r="AKB93" s="22"/>
      <c r="AKC93" s="22"/>
      <c r="AKD93" s="22"/>
      <c r="AKE93" s="22"/>
      <c r="AKF93" s="22"/>
      <c r="AKG93" s="22"/>
      <c r="AKH93" s="22"/>
      <c r="AKI93" s="22"/>
      <c r="AKJ93" s="22"/>
      <c r="AKK93" s="22"/>
      <c r="AKL93" s="22"/>
      <c r="AKM93" s="22"/>
      <c r="AKN93" s="22"/>
      <c r="AKO93" s="22"/>
      <c r="AKP93" s="22"/>
      <c r="AKQ93" s="22"/>
      <c r="AKR93" s="22"/>
      <c r="AKS93" s="22"/>
      <c r="AKT93" s="22"/>
      <c r="AKU93" s="22"/>
      <c r="AKV93" s="22"/>
      <c r="AKW93" s="22"/>
      <c r="AKX93" s="22"/>
      <c r="AKY93" s="22"/>
      <c r="AKZ93" s="22"/>
      <c r="ALA93" s="22"/>
      <c r="ALB93" s="22"/>
      <c r="ALC93" s="22"/>
      <c r="ALD93" s="22"/>
      <c r="ALE93" s="22"/>
      <c r="ALF93" s="22"/>
      <c r="ALG93" s="22"/>
      <c r="ALH93" s="22"/>
      <c r="ALI93" s="22"/>
      <c r="ALJ93" s="22"/>
      <c r="ALK93" s="22"/>
      <c r="ALL93" s="22"/>
      <c r="ALM93" s="22"/>
      <c r="ALN93" s="22"/>
      <c r="ALO93" s="22"/>
      <c r="ALP93" s="22"/>
      <c r="ALQ93" s="22"/>
      <c r="ALR93" s="22"/>
      <c r="ALS93" s="22"/>
      <c r="ALT93" s="22"/>
      <c r="ALU93" s="22"/>
      <c r="ALV93" s="22"/>
      <c r="ALW93" s="22"/>
      <c r="ALX93" s="22"/>
      <c r="ALY93" s="22"/>
      <c r="ALZ93" s="22"/>
      <c r="AMA93" s="22"/>
      <c r="AMB93" s="22"/>
      <c r="AMC93" s="22"/>
      <c r="AMD93" s="22"/>
      <c r="AME93" s="22"/>
      <c r="AMF93" s="22"/>
      <c r="AMG93" s="22"/>
      <c r="AMH93" s="22"/>
      <c r="AMI93" s="22"/>
      <c r="AMJ93" s="22"/>
      <c r="AMK93" s="22"/>
      <c r="AML93" s="22"/>
      <c r="AMM93" s="22"/>
      <c r="AMN93" s="22"/>
      <c r="AMO93" s="22"/>
      <c r="AMP93" s="22"/>
      <c r="AMQ93" s="22"/>
      <c r="AMR93" s="22"/>
      <c r="AMS93" s="22"/>
      <c r="AMT93" s="22"/>
      <c r="AMU93" s="22"/>
      <c r="AMV93" s="22"/>
      <c r="AMW93" s="22"/>
      <c r="AMX93" s="22"/>
      <c r="AMY93" s="22"/>
      <c r="AMZ93" s="22"/>
      <c r="ANA93" s="22"/>
      <c r="ANB93" s="22"/>
      <c r="ANC93" s="22"/>
      <c r="AND93" s="22"/>
      <c r="ANE93" s="22"/>
      <c r="ANF93" s="22"/>
      <c r="ANG93" s="22"/>
      <c r="ANH93" s="22"/>
      <c r="ANI93" s="22"/>
      <c r="ANJ93" s="22"/>
      <c r="ANK93" s="22"/>
      <c r="ANL93" s="22"/>
      <c r="ANM93" s="22"/>
      <c r="ANN93" s="22"/>
      <c r="ANO93" s="22"/>
      <c r="ANP93" s="22"/>
      <c r="ANQ93" s="22"/>
      <c r="ANR93" s="22"/>
      <c r="ANS93" s="22"/>
      <c r="ANT93" s="22"/>
      <c r="ANU93" s="22"/>
      <c r="ANV93" s="22"/>
      <c r="ANW93" s="22"/>
      <c r="ANX93" s="22"/>
      <c r="ANY93" s="22"/>
      <c r="ANZ93" s="22"/>
      <c r="AOA93" s="22"/>
      <c r="AOB93" s="22"/>
      <c r="AOC93" s="22"/>
      <c r="AOD93" s="22"/>
      <c r="AOE93" s="22"/>
      <c r="AOF93" s="22"/>
      <c r="AOG93" s="22"/>
      <c r="AOH93" s="22"/>
      <c r="AOI93" s="22"/>
      <c r="AOJ93" s="22"/>
      <c r="AOK93" s="22"/>
      <c r="AOL93" s="22"/>
      <c r="AOM93" s="22"/>
      <c r="AON93" s="22"/>
      <c r="AOO93" s="22"/>
      <c r="AOP93" s="22"/>
      <c r="AOQ93" s="22"/>
      <c r="AOR93" s="22"/>
      <c r="AOS93" s="22"/>
      <c r="AOT93" s="22"/>
      <c r="AOU93" s="22"/>
      <c r="AOV93" s="22"/>
      <c r="AOW93" s="22"/>
      <c r="AOX93" s="22"/>
      <c r="AOY93" s="22"/>
      <c r="AOZ93" s="22"/>
      <c r="APA93" s="22"/>
      <c r="APB93" s="22"/>
      <c r="APC93" s="22"/>
      <c r="APD93" s="22"/>
      <c r="APE93" s="22"/>
      <c r="APF93" s="22"/>
      <c r="APG93" s="22"/>
      <c r="APH93" s="22"/>
      <c r="API93" s="22"/>
      <c r="APJ93" s="22"/>
      <c r="APK93" s="22"/>
      <c r="APL93" s="22"/>
      <c r="APM93" s="22"/>
      <c r="APN93" s="22"/>
      <c r="APO93" s="22"/>
      <c r="APP93" s="22"/>
      <c r="APQ93" s="22"/>
      <c r="APR93" s="22"/>
      <c r="APS93" s="22"/>
      <c r="APT93" s="22"/>
      <c r="APU93" s="22"/>
      <c r="APV93" s="22"/>
      <c r="APW93" s="22"/>
      <c r="APX93" s="22"/>
      <c r="APY93" s="22"/>
      <c r="APZ93" s="22"/>
      <c r="AQA93" s="22"/>
      <c r="AQB93" s="22"/>
      <c r="AQC93" s="22"/>
      <c r="AQD93" s="22"/>
      <c r="AQE93" s="22"/>
      <c r="AQF93" s="22"/>
      <c r="AQG93" s="22"/>
      <c r="AQH93" s="22"/>
      <c r="AQI93" s="22"/>
      <c r="AQJ93" s="22"/>
      <c r="AQK93" s="22"/>
      <c r="AQL93" s="22"/>
      <c r="AQM93" s="22"/>
      <c r="AQN93" s="22"/>
      <c r="AQO93" s="22"/>
      <c r="AQP93" s="22"/>
      <c r="AQQ93" s="22"/>
      <c r="AQR93" s="22"/>
      <c r="AQS93" s="22"/>
      <c r="AQT93" s="22"/>
      <c r="AQU93" s="22"/>
      <c r="AQV93" s="22"/>
      <c r="AQW93" s="22"/>
      <c r="AQX93" s="22"/>
      <c r="AQY93" s="22"/>
      <c r="AQZ93" s="22"/>
      <c r="ARA93" s="22"/>
      <c r="ARB93" s="22"/>
      <c r="ARC93" s="22"/>
      <c r="ARD93" s="22"/>
      <c r="ARE93" s="22"/>
      <c r="ARF93" s="22"/>
      <c r="ARG93" s="22"/>
      <c r="ARH93" s="22"/>
      <c r="ARI93" s="22"/>
      <c r="ARJ93" s="22"/>
      <c r="ARK93" s="22"/>
      <c r="ARL93" s="22"/>
      <c r="ARM93" s="22"/>
      <c r="ARN93" s="22"/>
      <c r="ARO93" s="22"/>
      <c r="ARP93" s="22"/>
      <c r="ARQ93" s="22"/>
      <c r="ARR93" s="22"/>
      <c r="ARS93" s="22"/>
      <c r="ART93" s="22"/>
      <c r="ARU93" s="22"/>
      <c r="ARV93" s="22"/>
      <c r="ARW93" s="22"/>
      <c r="ARX93" s="22"/>
      <c r="ARY93" s="22"/>
      <c r="ARZ93" s="22"/>
      <c r="ASA93" s="22"/>
      <c r="ASB93" s="22"/>
      <c r="ASC93" s="22"/>
      <c r="ASD93" s="22"/>
      <c r="ASE93" s="22"/>
      <c r="ASF93" s="22"/>
      <c r="ASG93" s="22"/>
      <c r="ASH93" s="22"/>
      <c r="ASI93" s="22"/>
      <c r="ASJ93" s="22"/>
      <c r="ASK93" s="22"/>
      <c r="ASL93" s="22"/>
      <c r="ASM93" s="22"/>
      <c r="ASN93" s="22"/>
      <c r="ASO93" s="22"/>
      <c r="ASP93" s="22"/>
      <c r="ASQ93" s="22"/>
      <c r="ASR93" s="22"/>
      <c r="ASS93" s="22"/>
      <c r="AST93" s="22"/>
      <c r="ASU93" s="22"/>
      <c r="ASV93" s="22"/>
      <c r="ASW93" s="22"/>
      <c r="ASX93" s="22"/>
      <c r="ASY93" s="22"/>
      <c r="ASZ93" s="22"/>
      <c r="ATA93" s="22"/>
      <c r="ATB93" s="22"/>
      <c r="ATC93" s="22"/>
      <c r="ATD93" s="22"/>
      <c r="ATE93" s="22"/>
      <c r="ATF93" s="22"/>
      <c r="ATG93" s="22"/>
      <c r="ATH93" s="22"/>
      <c r="ATI93" s="22"/>
      <c r="ATJ93" s="22"/>
      <c r="ATK93" s="22"/>
      <c r="ATL93" s="22"/>
      <c r="ATM93" s="22"/>
      <c r="ATN93" s="22"/>
      <c r="ATO93" s="22"/>
      <c r="ATP93" s="22"/>
      <c r="ATQ93" s="22"/>
      <c r="ATR93" s="22"/>
      <c r="ATS93" s="22"/>
      <c r="ATT93" s="22"/>
      <c r="ATU93" s="22"/>
      <c r="ATV93" s="22"/>
      <c r="ATW93" s="22"/>
      <c r="ATX93" s="22"/>
      <c r="ATY93" s="22"/>
      <c r="ATZ93" s="22"/>
      <c r="AUA93" s="22"/>
      <c r="AUB93" s="22"/>
      <c r="AUC93" s="22"/>
      <c r="AUD93" s="22"/>
      <c r="AUE93" s="22"/>
      <c r="AUF93" s="22"/>
      <c r="AUG93" s="22"/>
      <c r="AUH93" s="22"/>
      <c r="AUI93" s="22"/>
      <c r="AUJ93" s="22"/>
      <c r="AUK93" s="22"/>
      <c r="AUL93" s="22"/>
      <c r="AUM93" s="22"/>
      <c r="AUN93" s="22"/>
      <c r="AUO93" s="22"/>
      <c r="AUP93" s="22"/>
      <c r="AUQ93" s="22"/>
      <c r="AUR93" s="22"/>
      <c r="AUS93" s="22"/>
      <c r="AUT93" s="22"/>
      <c r="AUU93" s="22"/>
      <c r="AUV93" s="22"/>
      <c r="AUW93" s="22"/>
      <c r="AUX93" s="22"/>
      <c r="AUY93" s="22"/>
      <c r="AUZ93" s="22"/>
      <c r="AVA93" s="22"/>
      <c r="AVB93" s="22"/>
      <c r="AVC93" s="22"/>
      <c r="AVD93" s="22"/>
      <c r="AVE93" s="22"/>
      <c r="AVF93" s="22"/>
      <c r="AVG93" s="22"/>
      <c r="AVH93" s="22"/>
      <c r="AVI93" s="22"/>
      <c r="AVJ93" s="22"/>
      <c r="AVK93" s="22"/>
      <c r="AVL93" s="22"/>
      <c r="AVM93" s="22"/>
      <c r="AVN93" s="22"/>
      <c r="AVO93" s="22"/>
      <c r="AVP93" s="22"/>
      <c r="AVQ93" s="22"/>
      <c r="AVR93" s="22"/>
      <c r="AVS93" s="22"/>
      <c r="AVT93" s="22"/>
      <c r="AVU93" s="22"/>
      <c r="AVV93" s="22"/>
      <c r="AVW93" s="22"/>
      <c r="AVX93" s="22"/>
      <c r="AVY93" s="22"/>
      <c r="AVZ93" s="22"/>
      <c r="AWA93" s="22"/>
      <c r="AWB93" s="22"/>
      <c r="AWC93" s="22"/>
      <c r="AWD93" s="22"/>
      <c r="AWE93" s="22"/>
      <c r="AWF93" s="22"/>
      <c r="AWG93" s="22"/>
      <c r="AWH93" s="22"/>
      <c r="AWI93" s="22"/>
      <c r="AWJ93" s="22"/>
      <c r="AWK93" s="22"/>
      <c r="AWL93" s="22"/>
      <c r="AWM93" s="22"/>
      <c r="AWN93" s="22"/>
      <c r="AWO93" s="22"/>
      <c r="AWP93" s="22"/>
      <c r="AWQ93" s="22"/>
      <c r="AWR93" s="22"/>
      <c r="AWS93" s="22"/>
      <c r="AWT93" s="22"/>
      <c r="AWU93" s="22"/>
      <c r="AWV93" s="22"/>
      <c r="AWW93" s="22"/>
      <c r="AWX93" s="22"/>
      <c r="AWY93" s="22"/>
      <c r="AWZ93" s="22"/>
      <c r="AXA93" s="22"/>
      <c r="AXB93" s="22"/>
      <c r="AXC93" s="22"/>
      <c r="AXD93" s="22"/>
      <c r="AXE93" s="22"/>
      <c r="AXF93" s="22"/>
      <c r="AXG93" s="22"/>
      <c r="AXH93" s="22"/>
      <c r="AXI93" s="22"/>
      <c r="AXJ93" s="22"/>
      <c r="AXK93" s="22"/>
      <c r="AXL93" s="22"/>
      <c r="AXM93" s="22"/>
      <c r="AXN93" s="22"/>
      <c r="AXO93" s="22"/>
      <c r="AXP93" s="22"/>
      <c r="AXQ93" s="22"/>
      <c r="AXR93" s="22"/>
      <c r="AXS93" s="22"/>
      <c r="AXT93" s="22"/>
      <c r="AXU93" s="22"/>
      <c r="AXV93" s="22"/>
      <c r="AXW93" s="22"/>
      <c r="AXX93" s="22"/>
      <c r="AXY93" s="22"/>
      <c r="AXZ93" s="22"/>
      <c r="AYA93" s="22"/>
      <c r="AYB93" s="22"/>
      <c r="AYC93" s="22"/>
      <c r="AYD93" s="22"/>
      <c r="AYE93" s="22"/>
      <c r="AYF93" s="22"/>
      <c r="AYG93" s="22"/>
      <c r="AYH93" s="22"/>
      <c r="AYI93" s="22"/>
      <c r="AYJ93" s="22"/>
      <c r="AYK93" s="22"/>
      <c r="AYL93" s="22"/>
      <c r="AYM93" s="22"/>
      <c r="AYN93" s="22"/>
      <c r="AYO93" s="22"/>
      <c r="AYP93" s="22"/>
      <c r="AYQ93" s="22"/>
      <c r="AYR93" s="22"/>
      <c r="AYS93" s="22"/>
      <c r="AYT93" s="22"/>
      <c r="AYU93" s="22"/>
      <c r="AYV93" s="22"/>
      <c r="AYW93" s="22"/>
      <c r="AYX93" s="22"/>
      <c r="AYY93" s="22"/>
      <c r="AYZ93" s="22"/>
      <c r="AZA93" s="22"/>
      <c r="AZB93" s="22"/>
      <c r="AZC93" s="22"/>
      <c r="AZD93" s="22"/>
      <c r="AZE93" s="22"/>
      <c r="AZF93" s="22"/>
      <c r="AZG93" s="22"/>
      <c r="AZH93" s="22"/>
      <c r="AZI93" s="22"/>
      <c r="AZJ93" s="22"/>
      <c r="AZK93" s="22"/>
      <c r="AZL93" s="22"/>
      <c r="AZM93" s="22"/>
      <c r="AZN93" s="22"/>
      <c r="AZO93" s="22"/>
      <c r="AZP93" s="22"/>
      <c r="AZQ93" s="22"/>
      <c r="AZR93" s="22"/>
      <c r="AZS93" s="22"/>
      <c r="AZT93" s="22"/>
      <c r="AZU93" s="22"/>
      <c r="AZV93" s="22"/>
      <c r="AZW93" s="22"/>
      <c r="AZX93" s="22"/>
      <c r="AZY93" s="22"/>
      <c r="AZZ93" s="22"/>
      <c r="BAA93" s="22"/>
      <c r="BAB93" s="22"/>
      <c r="BAC93" s="22"/>
      <c r="BAD93" s="22"/>
      <c r="BAE93" s="22"/>
      <c r="BAF93" s="22"/>
      <c r="BAG93" s="22"/>
      <c r="BAH93" s="22"/>
      <c r="BAI93" s="22"/>
      <c r="BAJ93" s="22"/>
      <c r="BAK93" s="22"/>
      <c r="BAL93" s="22"/>
      <c r="BAM93" s="22"/>
      <c r="BAN93" s="22"/>
      <c r="BAO93" s="22"/>
      <c r="BAP93" s="22"/>
      <c r="BAQ93" s="22"/>
      <c r="BAR93" s="22"/>
      <c r="BAS93" s="22"/>
      <c r="BAT93" s="22"/>
      <c r="BAU93" s="22"/>
      <c r="BAV93" s="22"/>
      <c r="BAW93" s="22"/>
      <c r="BAX93" s="22"/>
      <c r="BAY93" s="22"/>
      <c r="BAZ93" s="22"/>
      <c r="BBA93" s="22"/>
      <c r="BBB93" s="22"/>
      <c r="BBC93" s="22"/>
      <c r="BBD93" s="22"/>
      <c r="BBE93" s="22"/>
      <c r="BBF93" s="22"/>
      <c r="BBG93" s="22"/>
      <c r="BBH93" s="22"/>
      <c r="BBI93" s="22"/>
      <c r="BBJ93" s="22"/>
      <c r="BBK93" s="22"/>
      <c r="BBL93" s="22"/>
      <c r="BBM93" s="22"/>
      <c r="BBN93" s="22"/>
      <c r="BBO93" s="22"/>
      <c r="BBP93" s="22"/>
      <c r="BBQ93" s="22"/>
      <c r="BBR93" s="22"/>
      <c r="BBS93" s="22"/>
      <c r="BBT93" s="22"/>
      <c r="BBU93" s="22"/>
      <c r="BBV93" s="22"/>
      <c r="BBW93" s="22"/>
      <c r="BBX93" s="22"/>
      <c r="BBY93" s="22"/>
      <c r="BBZ93" s="22"/>
      <c r="BCA93" s="22"/>
      <c r="BCB93" s="22"/>
      <c r="BCC93" s="22"/>
      <c r="BCD93" s="22"/>
      <c r="BCE93" s="22"/>
      <c r="BCF93" s="22"/>
      <c r="BCG93" s="22"/>
      <c r="BCH93" s="22"/>
      <c r="BCI93" s="22"/>
      <c r="BCJ93" s="22"/>
      <c r="BCK93" s="22"/>
      <c r="BCL93" s="22"/>
      <c r="BCM93" s="22"/>
      <c r="BCN93" s="22"/>
      <c r="BCO93" s="22"/>
      <c r="BCP93" s="22"/>
      <c r="BCQ93" s="22"/>
      <c r="BCR93" s="22"/>
      <c r="BCS93" s="22"/>
      <c r="BCT93" s="22"/>
      <c r="BCU93" s="22"/>
      <c r="BCV93" s="22"/>
      <c r="BCW93" s="22"/>
      <c r="BCX93" s="22"/>
      <c r="BCY93" s="22"/>
      <c r="BCZ93" s="22"/>
      <c r="BDA93" s="22"/>
      <c r="BDB93" s="22"/>
      <c r="BDC93" s="22"/>
      <c r="BDD93" s="22"/>
      <c r="BDE93" s="22"/>
      <c r="BDF93" s="22"/>
      <c r="BDG93" s="22"/>
      <c r="BDH93" s="22"/>
      <c r="BDI93" s="22"/>
      <c r="BDJ93" s="22"/>
      <c r="BDK93" s="22"/>
      <c r="BDL93" s="22"/>
      <c r="BDM93" s="22"/>
      <c r="BDN93" s="22"/>
      <c r="BDO93" s="22"/>
      <c r="BDP93" s="22"/>
      <c r="BDQ93" s="22"/>
      <c r="BDR93" s="22"/>
      <c r="BDS93" s="22"/>
      <c r="BDT93" s="22"/>
      <c r="BDU93" s="22"/>
      <c r="BDV93" s="22"/>
      <c r="BDW93" s="22"/>
      <c r="BDX93" s="22"/>
      <c r="BDY93" s="22"/>
      <c r="BDZ93" s="22"/>
      <c r="BEA93" s="22"/>
      <c r="BEB93" s="22"/>
      <c r="BEC93" s="22"/>
      <c r="BED93" s="22"/>
      <c r="BEE93" s="22"/>
      <c r="BEF93" s="22"/>
      <c r="BEG93" s="22"/>
      <c r="BEH93" s="22"/>
      <c r="BEI93" s="22"/>
      <c r="BEJ93" s="22"/>
      <c r="BEK93" s="22"/>
      <c r="BEL93" s="22"/>
      <c r="BEM93" s="22"/>
      <c r="BEN93" s="22"/>
      <c r="BEO93" s="22"/>
      <c r="BEP93" s="22"/>
      <c r="BEQ93" s="22"/>
      <c r="BER93" s="22"/>
      <c r="BES93" s="22"/>
      <c r="BET93" s="22"/>
      <c r="BEU93" s="22"/>
      <c r="BEV93" s="22"/>
      <c r="BEW93" s="22"/>
      <c r="BEX93" s="22"/>
      <c r="BEY93" s="22"/>
      <c r="BEZ93" s="22"/>
      <c r="BFA93" s="22"/>
      <c r="BFB93" s="22"/>
      <c r="BFC93" s="22"/>
      <c r="BFD93" s="22"/>
      <c r="BFE93" s="22"/>
      <c r="BFF93" s="22"/>
      <c r="BFG93" s="22"/>
      <c r="BFH93" s="22"/>
      <c r="BFI93" s="22"/>
      <c r="BFJ93" s="22"/>
      <c r="BFK93" s="22"/>
      <c r="BFL93" s="22"/>
      <c r="BFM93" s="22"/>
      <c r="BFN93" s="22"/>
      <c r="BFO93" s="22"/>
      <c r="BFP93" s="22"/>
      <c r="BFQ93" s="22"/>
      <c r="BFR93" s="22"/>
      <c r="BFS93" s="22"/>
      <c r="BFT93" s="22"/>
      <c r="BFU93" s="22"/>
      <c r="BFV93" s="22"/>
      <c r="BFW93" s="22"/>
    </row>
    <row r="94" spans="1:1531" s="208" customFormat="1" ht="46.15" customHeight="1" x14ac:dyDescent="0.2">
      <c r="A94" s="305" t="s">
        <v>528</v>
      </c>
      <c r="B94" s="286"/>
      <c r="C94" s="122" t="s">
        <v>558</v>
      </c>
      <c r="D94" s="286"/>
      <c r="E94" s="286" t="s">
        <v>837</v>
      </c>
      <c r="F94" s="286"/>
      <c r="G94" s="286" t="s">
        <v>536</v>
      </c>
      <c r="H94" s="174"/>
      <c r="I94" s="281">
        <v>349</v>
      </c>
      <c r="J94" s="176"/>
      <c r="K94" s="122" t="s">
        <v>117</v>
      </c>
      <c r="L94" s="176"/>
      <c r="M94" s="176"/>
      <c r="N94" s="176"/>
      <c r="O94" s="176">
        <v>2015</v>
      </c>
      <c r="P94" s="162" t="s">
        <v>750</v>
      </c>
      <c r="Q94" s="176"/>
      <c r="R94" s="176"/>
      <c r="S94" s="282"/>
      <c r="T94" s="176"/>
      <c r="U94" s="176"/>
      <c r="V94" s="176"/>
      <c r="W94" s="176"/>
      <c r="X94" s="176"/>
      <c r="Y94" s="283"/>
      <c r="Z94" s="176"/>
      <c r="AA94" s="282"/>
      <c r="AB94" s="176"/>
      <c r="AC94" s="176"/>
      <c r="AD94" s="176"/>
      <c r="AE94" s="176"/>
      <c r="AF94" s="176"/>
      <c r="AG94" s="176"/>
      <c r="AH94" s="176"/>
      <c r="AI94" s="176"/>
      <c r="AJ94" s="176"/>
      <c r="AK94" s="176"/>
      <c r="AL94" s="176">
        <v>17</v>
      </c>
      <c r="AM94" s="176"/>
      <c r="AN94" s="284">
        <v>5933</v>
      </c>
      <c r="AU94" s="285"/>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c r="IW94" s="22"/>
      <c r="IX94" s="22"/>
      <c r="IY94" s="22"/>
      <c r="IZ94" s="22"/>
      <c r="JA94" s="22"/>
      <c r="JB94" s="22"/>
      <c r="JC94" s="22"/>
      <c r="JD94" s="22"/>
      <c r="JE94" s="22"/>
      <c r="JF94" s="22"/>
      <c r="JG94" s="22"/>
      <c r="JH94" s="22"/>
      <c r="JI94" s="22"/>
      <c r="JJ94" s="22"/>
      <c r="JK94" s="22"/>
      <c r="JL94" s="22"/>
      <c r="JM94" s="22"/>
      <c r="JN94" s="22"/>
      <c r="JO94" s="22"/>
      <c r="JP94" s="22"/>
      <c r="JQ94" s="22"/>
      <c r="JR94" s="22"/>
      <c r="JS94" s="22"/>
      <c r="JT94" s="22"/>
      <c r="JU94" s="22"/>
      <c r="JV94" s="22"/>
      <c r="JW94" s="22"/>
      <c r="JX94" s="22"/>
      <c r="JY94" s="22"/>
      <c r="JZ94" s="22"/>
      <c r="KA94" s="22"/>
      <c r="KB94" s="22"/>
      <c r="KC94" s="22"/>
      <c r="KD94" s="22"/>
      <c r="KE94" s="22"/>
      <c r="KF94" s="22"/>
      <c r="KG94" s="22"/>
      <c r="KH94" s="22"/>
      <c r="KI94" s="22"/>
      <c r="KJ94" s="22"/>
      <c r="KK94" s="22"/>
      <c r="KL94" s="22"/>
      <c r="KM94" s="22"/>
      <c r="KN94" s="22"/>
      <c r="KO94" s="22"/>
      <c r="KP94" s="22"/>
      <c r="KQ94" s="22"/>
      <c r="KR94" s="22"/>
      <c r="KS94" s="22"/>
      <c r="KT94" s="22"/>
      <c r="KU94" s="22"/>
      <c r="KV94" s="22"/>
      <c r="KW94" s="22"/>
      <c r="KX94" s="22"/>
      <c r="KY94" s="22"/>
      <c r="KZ94" s="22"/>
      <c r="LA94" s="22"/>
      <c r="LB94" s="22"/>
      <c r="LC94" s="22"/>
      <c r="LD94" s="22"/>
      <c r="LE94" s="22"/>
      <c r="LF94" s="22"/>
      <c r="LG94" s="22"/>
      <c r="LH94" s="22"/>
      <c r="LI94" s="22"/>
      <c r="LJ94" s="22"/>
      <c r="LK94" s="22"/>
      <c r="LL94" s="22"/>
      <c r="LM94" s="22"/>
      <c r="LN94" s="22"/>
      <c r="LO94" s="22"/>
      <c r="LP94" s="22"/>
      <c r="LQ94" s="22"/>
      <c r="LR94" s="22"/>
      <c r="LS94" s="22"/>
      <c r="LT94" s="22"/>
      <c r="LU94" s="22"/>
      <c r="LV94" s="22"/>
      <c r="LW94" s="22"/>
      <c r="LX94" s="22"/>
      <c r="LY94" s="22"/>
      <c r="LZ94" s="22"/>
      <c r="MA94" s="22"/>
      <c r="MB94" s="22"/>
      <c r="MC94" s="22"/>
      <c r="MD94" s="22"/>
      <c r="ME94" s="22"/>
      <c r="MF94" s="22"/>
      <c r="MG94" s="22"/>
      <c r="MH94" s="22"/>
      <c r="MI94" s="22"/>
      <c r="MJ94" s="22"/>
      <c r="MK94" s="22"/>
      <c r="ML94" s="22"/>
      <c r="MM94" s="22"/>
      <c r="MN94" s="22"/>
      <c r="MO94" s="22"/>
      <c r="MP94" s="22"/>
      <c r="MQ94" s="22"/>
      <c r="MR94" s="22"/>
      <c r="MS94" s="22"/>
      <c r="MT94" s="22"/>
      <c r="MU94" s="22"/>
      <c r="MV94" s="22"/>
      <c r="MW94" s="22"/>
      <c r="MX94" s="22"/>
      <c r="MY94" s="22"/>
      <c r="MZ94" s="22"/>
      <c r="NA94" s="22"/>
      <c r="NB94" s="22"/>
      <c r="NC94" s="22"/>
      <c r="ND94" s="22"/>
      <c r="NE94" s="22"/>
      <c r="NF94" s="22"/>
      <c r="NG94" s="22"/>
      <c r="NH94" s="22"/>
      <c r="NI94" s="22"/>
      <c r="NJ94" s="22"/>
      <c r="NK94" s="22"/>
      <c r="NL94" s="22"/>
      <c r="NM94" s="22"/>
      <c r="NN94" s="22"/>
      <c r="NO94" s="22"/>
      <c r="NP94" s="22"/>
      <c r="NQ94" s="22"/>
      <c r="NR94" s="22"/>
      <c r="NS94" s="22"/>
      <c r="NT94" s="22"/>
      <c r="NU94" s="22"/>
      <c r="NV94" s="22"/>
      <c r="NW94" s="22"/>
      <c r="NX94" s="22"/>
      <c r="NY94" s="22"/>
      <c r="NZ94" s="22"/>
      <c r="OA94" s="22"/>
      <c r="OB94" s="22"/>
      <c r="OC94" s="22"/>
      <c r="OD94" s="22"/>
      <c r="OE94" s="22"/>
      <c r="OF94" s="22"/>
      <c r="OG94" s="22"/>
      <c r="OH94" s="22"/>
      <c r="OI94" s="22"/>
      <c r="OJ94" s="22"/>
      <c r="OK94" s="22"/>
      <c r="OL94" s="22"/>
      <c r="OM94" s="22"/>
      <c r="ON94" s="22"/>
      <c r="OO94" s="22"/>
      <c r="OP94" s="22"/>
      <c r="OQ94" s="22"/>
      <c r="OR94" s="22"/>
      <c r="OS94" s="22"/>
      <c r="OT94" s="22"/>
      <c r="OU94" s="22"/>
      <c r="OV94" s="22"/>
      <c r="OW94" s="22"/>
      <c r="OX94" s="22"/>
      <c r="OY94" s="22"/>
      <c r="OZ94" s="22"/>
      <c r="PA94" s="22"/>
      <c r="PB94" s="22"/>
      <c r="PC94" s="22"/>
      <c r="PD94" s="22"/>
      <c r="PE94" s="22"/>
      <c r="PF94" s="22"/>
      <c r="PG94" s="22"/>
      <c r="PH94" s="22"/>
      <c r="PI94" s="22"/>
      <c r="PJ94" s="22"/>
      <c r="PK94" s="22"/>
      <c r="PL94" s="22"/>
      <c r="PM94" s="22"/>
      <c r="PN94" s="22"/>
      <c r="PO94" s="22"/>
      <c r="PP94" s="22"/>
      <c r="PQ94" s="22"/>
      <c r="PR94" s="22"/>
      <c r="PS94" s="22"/>
      <c r="PT94" s="22"/>
      <c r="PU94" s="22"/>
      <c r="PV94" s="22"/>
      <c r="PW94" s="22"/>
      <c r="PX94" s="22"/>
      <c r="PY94" s="22"/>
      <c r="PZ94" s="22"/>
      <c r="QA94" s="22"/>
      <c r="QB94" s="22"/>
      <c r="QC94" s="22"/>
      <c r="QD94" s="22"/>
      <c r="QE94" s="22"/>
      <c r="QF94" s="22"/>
      <c r="QG94" s="22"/>
      <c r="QH94" s="22"/>
      <c r="QI94" s="22"/>
      <c r="QJ94" s="22"/>
      <c r="QK94" s="22"/>
      <c r="QL94" s="22"/>
      <c r="QM94" s="22"/>
      <c r="QN94" s="22"/>
      <c r="QO94" s="22"/>
      <c r="QP94" s="22"/>
      <c r="QQ94" s="22"/>
      <c r="QR94" s="22"/>
      <c r="QS94" s="22"/>
      <c r="QT94" s="22"/>
      <c r="QU94" s="22"/>
      <c r="QV94" s="22"/>
      <c r="QW94" s="22"/>
      <c r="QX94" s="22"/>
      <c r="QY94" s="22"/>
      <c r="QZ94" s="22"/>
      <c r="RA94" s="22"/>
      <c r="RB94" s="22"/>
      <c r="RC94" s="22"/>
      <c r="RD94" s="22"/>
      <c r="RE94" s="22"/>
      <c r="RF94" s="22"/>
      <c r="RG94" s="22"/>
      <c r="RH94" s="22"/>
      <c r="RI94" s="22"/>
      <c r="RJ94" s="22"/>
      <c r="RK94" s="22"/>
      <c r="RL94" s="22"/>
      <c r="RM94" s="22"/>
      <c r="RN94" s="22"/>
      <c r="RO94" s="22"/>
      <c r="RP94" s="22"/>
      <c r="RQ94" s="22"/>
      <c r="RR94" s="22"/>
      <c r="RS94" s="22"/>
      <c r="RT94" s="22"/>
      <c r="RU94" s="22"/>
      <c r="RV94" s="22"/>
      <c r="RW94" s="22"/>
      <c r="RX94" s="22"/>
      <c r="RY94" s="22"/>
      <c r="RZ94" s="22"/>
      <c r="SA94" s="22"/>
      <c r="SB94" s="22"/>
      <c r="SC94" s="22"/>
      <c r="SD94" s="22"/>
      <c r="SE94" s="22"/>
      <c r="SF94" s="22"/>
      <c r="SG94" s="22"/>
      <c r="SH94" s="22"/>
      <c r="SI94" s="22"/>
      <c r="SJ94" s="22"/>
      <c r="SK94" s="22"/>
      <c r="SL94" s="22"/>
      <c r="SM94" s="22"/>
      <c r="SN94" s="22"/>
      <c r="SO94" s="22"/>
      <c r="SP94" s="22"/>
      <c r="SQ94" s="22"/>
      <c r="SR94" s="22"/>
      <c r="SS94" s="22"/>
      <c r="ST94" s="22"/>
      <c r="SU94" s="22"/>
      <c r="SV94" s="22"/>
      <c r="SW94" s="22"/>
      <c r="SX94" s="22"/>
      <c r="SY94" s="22"/>
      <c r="SZ94" s="22"/>
      <c r="TA94" s="22"/>
      <c r="TB94" s="22"/>
      <c r="TC94" s="22"/>
      <c r="TD94" s="22"/>
      <c r="TE94" s="22"/>
      <c r="TF94" s="22"/>
      <c r="TG94" s="22"/>
      <c r="TH94" s="22"/>
      <c r="TI94" s="22"/>
      <c r="TJ94" s="22"/>
      <c r="TK94" s="22"/>
      <c r="TL94" s="22"/>
      <c r="TM94" s="22"/>
      <c r="TN94" s="22"/>
      <c r="TO94" s="22"/>
      <c r="TP94" s="22"/>
      <c r="TQ94" s="22"/>
      <c r="TR94" s="22"/>
      <c r="TS94" s="22"/>
      <c r="TT94" s="22"/>
      <c r="TU94" s="22"/>
      <c r="TV94" s="22"/>
      <c r="TW94" s="22"/>
      <c r="TX94" s="22"/>
      <c r="TY94" s="22"/>
      <c r="TZ94" s="22"/>
      <c r="UA94" s="22"/>
      <c r="UB94" s="22"/>
      <c r="UC94" s="22"/>
      <c r="UD94" s="22"/>
      <c r="UE94" s="22"/>
      <c r="UF94" s="22"/>
      <c r="UG94" s="22"/>
      <c r="UH94" s="22"/>
      <c r="UI94" s="22"/>
      <c r="UJ94" s="22"/>
      <c r="UK94" s="22"/>
      <c r="UL94" s="22"/>
      <c r="UM94" s="22"/>
      <c r="UN94" s="22"/>
      <c r="UO94" s="22"/>
      <c r="UP94" s="22"/>
      <c r="UQ94" s="22"/>
      <c r="UR94" s="22"/>
      <c r="US94" s="22"/>
      <c r="UT94" s="22"/>
      <c r="UU94" s="22"/>
      <c r="UV94" s="22"/>
      <c r="UW94" s="22"/>
      <c r="UX94" s="22"/>
      <c r="UY94" s="22"/>
      <c r="UZ94" s="22"/>
      <c r="VA94" s="22"/>
      <c r="VB94" s="22"/>
      <c r="VC94" s="22"/>
      <c r="VD94" s="22"/>
      <c r="VE94" s="22"/>
      <c r="VF94" s="22"/>
      <c r="VG94" s="22"/>
      <c r="VH94" s="22"/>
      <c r="VI94" s="22"/>
      <c r="VJ94" s="22"/>
      <c r="VK94" s="22"/>
      <c r="VL94" s="22"/>
      <c r="VM94" s="22"/>
      <c r="VN94" s="22"/>
      <c r="VO94" s="22"/>
      <c r="VP94" s="22"/>
      <c r="VQ94" s="22"/>
      <c r="VR94" s="22"/>
      <c r="VS94" s="22"/>
      <c r="VT94" s="22"/>
      <c r="VU94" s="22"/>
      <c r="VV94" s="22"/>
      <c r="VW94" s="22"/>
      <c r="VX94" s="22"/>
      <c r="VY94" s="22"/>
      <c r="VZ94" s="22"/>
      <c r="WA94" s="22"/>
      <c r="WB94" s="22"/>
      <c r="WC94" s="22"/>
      <c r="WD94" s="22"/>
      <c r="WE94" s="22"/>
      <c r="WF94" s="22"/>
      <c r="WG94" s="22"/>
      <c r="WH94" s="22"/>
      <c r="WI94" s="22"/>
      <c r="WJ94" s="22"/>
      <c r="WK94" s="22"/>
      <c r="WL94" s="22"/>
      <c r="WM94" s="22"/>
      <c r="WN94" s="22"/>
      <c r="WO94" s="22"/>
      <c r="WP94" s="22"/>
      <c r="WQ94" s="22"/>
      <c r="WR94" s="22"/>
      <c r="WS94" s="22"/>
      <c r="WT94" s="22"/>
      <c r="WU94" s="22"/>
      <c r="WV94" s="22"/>
      <c r="WW94" s="22"/>
      <c r="WX94" s="22"/>
      <c r="WY94" s="22"/>
      <c r="WZ94" s="22"/>
      <c r="XA94" s="22"/>
      <c r="XB94" s="22"/>
      <c r="XC94" s="22"/>
      <c r="XD94" s="22"/>
      <c r="XE94" s="22"/>
      <c r="XF94" s="22"/>
      <c r="XG94" s="22"/>
      <c r="XH94" s="22"/>
      <c r="XI94" s="22"/>
      <c r="XJ94" s="22"/>
      <c r="XK94" s="22"/>
      <c r="XL94" s="22"/>
      <c r="XM94" s="22"/>
      <c r="XN94" s="22"/>
      <c r="XO94" s="22"/>
      <c r="XP94" s="22"/>
      <c r="XQ94" s="22"/>
      <c r="XR94" s="22"/>
      <c r="XS94" s="22"/>
      <c r="XT94" s="22"/>
      <c r="XU94" s="22"/>
      <c r="XV94" s="22"/>
      <c r="XW94" s="22"/>
      <c r="XX94" s="22"/>
      <c r="XY94" s="22"/>
      <c r="XZ94" s="22"/>
      <c r="YA94" s="22"/>
      <c r="YB94" s="22"/>
      <c r="YC94" s="22"/>
      <c r="YD94" s="22"/>
      <c r="YE94" s="22"/>
      <c r="YF94" s="22"/>
      <c r="YG94" s="22"/>
      <c r="YH94" s="22"/>
      <c r="YI94" s="22"/>
      <c r="YJ94" s="22"/>
      <c r="YK94" s="22"/>
      <c r="YL94" s="22"/>
      <c r="YM94" s="22"/>
      <c r="YN94" s="22"/>
      <c r="YO94" s="22"/>
      <c r="YP94" s="22"/>
      <c r="YQ94" s="22"/>
      <c r="YR94" s="22"/>
      <c r="YS94" s="22"/>
      <c r="YT94" s="22"/>
      <c r="YU94" s="22"/>
      <c r="YV94" s="22"/>
      <c r="YW94" s="22"/>
      <c r="YX94" s="22"/>
      <c r="YY94" s="22"/>
      <c r="YZ94" s="22"/>
      <c r="ZA94" s="22"/>
      <c r="ZB94" s="22"/>
      <c r="ZC94" s="22"/>
      <c r="ZD94" s="22"/>
      <c r="ZE94" s="22"/>
      <c r="ZF94" s="22"/>
      <c r="ZG94" s="22"/>
      <c r="ZH94" s="22"/>
      <c r="ZI94" s="22"/>
      <c r="ZJ94" s="22"/>
      <c r="ZK94" s="22"/>
      <c r="ZL94" s="22"/>
      <c r="ZM94" s="22"/>
      <c r="ZN94" s="22"/>
      <c r="ZO94" s="22"/>
      <c r="ZP94" s="22"/>
      <c r="ZQ94" s="22"/>
      <c r="ZR94" s="22"/>
      <c r="ZS94" s="22"/>
      <c r="ZT94" s="22"/>
      <c r="ZU94" s="22"/>
      <c r="ZV94" s="22"/>
      <c r="ZW94" s="22"/>
      <c r="ZX94" s="22"/>
      <c r="ZY94" s="22"/>
      <c r="ZZ94" s="22"/>
      <c r="AAA94" s="22"/>
      <c r="AAB94" s="22"/>
      <c r="AAC94" s="22"/>
      <c r="AAD94" s="22"/>
      <c r="AAE94" s="22"/>
      <c r="AAF94" s="22"/>
      <c r="AAG94" s="22"/>
      <c r="AAH94" s="22"/>
      <c r="AAI94" s="22"/>
      <c r="AAJ94" s="22"/>
      <c r="AAK94" s="22"/>
      <c r="AAL94" s="22"/>
      <c r="AAM94" s="22"/>
      <c r="AAN94" s="22"/>
      <c r="AAO94" s="22"/>
      <c r="AAP94" s="22"/>
      <c r="AAQ94" s="22"/>
      <c r="AAR94" s="22"/>
      <c r="AAS94" s="22"/>
      <c r="AAT94" s="22"/>
      <c r="AAU94" s="22"/>
      <c r="AAV94" s="22"/>
      <c r="AAW94" s="22"/>
      <c r="AAX94" s="22"/>
      <c r="AAY94" s="22"/>
      <c r="AAZ94" s="22"/>
      <c r="ABA94" s="22"/>
      <c r="ABB94" s="22"/>
      <c r="ABC94" s="22"/>
      <c r="ABD94" s="22"/>
      <c r="ABE94" s="22"/>
      <c r="ABF94" s="22"/>
      <c r="ABG94" s="22"/>
      <c r="ABH94" s="22"/>
      <c r="ABI94" s="22"/>
      <c r="ABJ94" s="22"/>
      <c r="ABK94" s="22"/>
      <c r="ABL94" s="22"/>
      <c r="ABM94" s="22"/>
      <c r="ABN94" s="22"/>
      <c r="ABO94" s="22"/>
      <c r="ABP94" s="22"/>
      <c r="ABQ94" s="22"/>
      <c r="ABR94" s="22"/>
      <c r="ABS94" s="22"/>
      <c r="ABT94" s="22"/>
      <c r="ABU94" s="22"/>
      <c r="ABV94" s="22"/>
      <c r="ABW94" s="22"/>
      <c r="ABX94" s="22"/>
      <c r="ABY94" s="22"/>
      <c r="ABZ94" s="22"/>
      <c r="ACA94" s="22"/>
      <c r="ACB94" s="22"/>
      <c r="ACC94" s="22"/>
      <c r="ACD94" s="22"/>
      <c r="ACE94" s="22"/>
      <c r="ACF94" s="22"/>
      <c r="ACG94" s="22"/>
      <c r="ACH94" s="22"/>
      <c r="ACI94" s="22"/>
      <c r="ACJ94" s="22"/>
      <c r="ACK94" s="22"/>
      <c r="ACL94" s="22"/>
      <c r="ACM94" s="22"/>
      <c r="ACN94" s="22"/>
      <c r="ACO94" s="22"/>
      <c r="ACP94" s="22"/>
      <c r="ACQ94" s="22"/>
      <c r="ACR94" s="22"/>
      <c r="ACS94" s="22"/>
      <c r="ACT94" s="22"/>
      <c r="ACU94" s="22"/>
      <c r="ACV94" s="22"/>
      <c r="ACW94" s="22"/>
      <c r="ACX94" s="22"/>
      <c r="ACY94" s="22"/>
      <c r="ACZ94" s="22"/>
      <c r="ADA94" s="22"/>
      <c r="ADB94" s="22"/>
      <c r="ADC94" s="22"/>
      <c r="ADD94" s="22"/>
      <c r="ADE94" s="22"/>
      <c r="ADF94" s="22"/>
      <c r="ADG94" s="22"/>
      <c r="ADH94" s="22"/>
      <c r="ADI94" s="22"/>
      <c r="ADJ94" s="22"/>
      <c r="ADK94" s="22"/>
      <c r="ADL94" s="22"/>
      <c r="ADM94" s="22"/>
      <c r="ADN94" s="22"/>
      <c r="ADO94" s="22"/>
      <c r="ADP94" s="22"/>
      <c r="ADQ94" s="22"/>
      <c r="ADR94" s="22"/>
      <c r="ADS94" s="22"/>
      <c r="ADT94" s="22"/>
      <c r="ADU94" s="22"/>
      <c r="ADV94" s="22"/>
      <c r="ADW94" s="22"/>
      <c r="ADX94" s="22"/>
      <c r="ADY94" s="22"/>
      <c r="ADZ94" s="22"/>
      <c r="AEA94" s="22"/>
      <c r="AEB94" s="22"/>
      <c r="AEC94" s="22"/>
      <c r="AED94" s="22"/>
      <c r="AEE94" s="22"/>
      <c r="AEF94" s="22"/>
      <c r="AEG94" s="22"/>
      <c r="AEH94" s="22"/>
      <c r="AEI94" s="22"/>
      <c r="AEJ94" s="22"/>
      <c r="AEK94" s="22"/>
      <c r="AEL94" s="22"/>
      <c r="AEM94" s="22"/>
      <c r="AEN94" s="22"/>
      <c r="AEO94" s="22"/>
      <c r="AEP94" s="22"/>
      <c r="AEQ94" s="22"/>
      <c r="AER94" s="22"/>
      <c r="AES94" s="22"/>
      <c r="AET94" s="22"/>
      <c r="AEU94" s="22"/>
      <c r="AEV94" s="22"/>
      <c r="AEW94" s="22"/>
      <c r="AEX94" s="22"/>
      <c r="AEY94" s="22"/>
      <c r="AEZ94" s="22"/>
      <c r="AFA94" s="22"/>
      <c r="AFB94" s="22"/>
      <c r="AFC94" s="22"/>
      <c r="AFD94" s="22"/>
      <c r="AFE94" s="22"/>
      <c r="AFF94" s="22"/>
      <c r="AFG94" s="22"/>
      <c r="AFH94" s="22"/>
      <c r="AFI94" s="22"/>
      <c r="AFJ94" s="22"/>
      <c r="AFK94" s="22"/>
      <c r="AFL94" s="22"/>
      <c r="AFM94" s="22"/>
      <c r="AFN94" s="22"/>
      <c r="AFO94" s="22"/>
      <c r="AFP94" s="22"/>
      <c r="AFQ94" s="22"/>
      <c r="AFR94" s="22"/>
      <c r="AFS94" s="22"/>
      <c r="AFT94" s="22"/>
      <c r="AFU94" s="22"/>
      <c r="AFV94" s="22"/>
      <c r="AFW94" s="22"/>
      <c r="AFX94" s="22"/>
      <c r="AFY94" s="22"/>
      <c r="AFZ94" s="22"/>
      <c r="AGA94" s="22"/>
      <c r="AGB94" s="22"/>
      <c r="AGC94" s="22"/>
      <c r="AGD94" s="22"/>
      <c r="AGE94" s="22"/>
      <c r="AGF94" s="22"/>
      <c r="AGG94" s="22"/>
      <c r="AGH94" s="22"/>
      <c r="AGI94" s="22"/>
      <c r="AGJ94" s="22"/>
      <c r="AGK94" s="22"/>
      <c r="AGL94" s="22"/>
      <c r="AGM94" s="22"/>
      <c r="AGN94" s="22"/>
      <c r="AGO94" s="22"/>
      <c r="AGP94" s="22"/>
      <c r="AGQ94" s="22"/>
      <c r="AGR94" s="22"/>
      <c r="AGS94" s="22"/>
      <c r="AGT94" s="22"/>
      <c r="AGU94" s="22"/>
      <c r="AGV94" s="22"/>
      <c r="AGW94" s="22"/>
      <c r="AGX94" s="22"/>
      <c r="AGY94" s="22"/>
      <c r="AGZ94" s="22"/>
      <c r="AHA94" s="22"/>
      <c r="AHB94" s="22"/>
      <c r="AHC94" s="22"/>
      <c r="AHD94" s="22"/>
      <c r="AHE94" s="22"/>
      <c r="AHF94" s="22"/>
      <c r="AHG94" s="22"/>
      <c r="AHH94" s="22"/>
      <c r="AHI94" s="22"/>
      <c r="AHJ94" s="22"/>
      <c r="AHK94" s="22"/>
      <c r="AHL94" s="22"/>
      <c r="AHM94" s="22"/>
      <c r="AHN94" s="22"/>
      <c r="AHO94" s="22"/>
      <c r="AHP94" s="22"/>
      <c r="AHQ94" s="22"/>
      <c r="AHR94" s="22"/>
      <c r="AHS94" s="22"/>
      <c r="AHT94" s="22"/>
      <c r="AHU94" s="22"/>
      <c r="AHV94" s="22"/>
      <c r="AHW94" s="22"/>
      <c r="AHX94" s="22"/>
      <c r="AHY94" s="22"/>
      <c r="AHZ94" s="22"/>
      <c r="AIA94" s="22"/>
      <c r="AIB94" s="22"/>
      <c r="AIC94" s="22"/>
      <c r="AID94" s="22"/>
      <c r="AIE94" s="22"/>
      <c r="AIF94" s="22"/>
      <c r="AIG94" s="22"/>
      <c r="AIH94" s="22"/>
      <c r="AII94" s="22"/>
      <c r="AIJ94" s="22"/>
      <c r="AIK94" s="22"/>
      <c r="AIL94" s="22"/>
      <c r="AIM94" s="22"/>
      <c r="AIN94" s="22"/>
      <c r="AIO94" s="22"/>
      <c r="AIP94" s="22"/>
      <c r="AIQ94" s="22"/>
      <c r="AIR94" s="22"/>
      <c r="AIS94" s="22"/>
      <c r="AIT94" s="22"/>
      <c r="AIU94" s="22"/>
      <c r="AIV94" s="22"/>
      <c r="AIW94" s="22"/>
      <c r="AIX94" s="22"/>
      <c r="AIY94" s="22"/>
      <c r="AIZ94" s="22"/>
      <c r="AJA94" s="22"/>
      <c r="AJB94" s="22"/>
      <c r="AJC94" s="22"/>
      <c r="AJD94" s="22"/>
      <c r="AJE94" s="22"/>
      <c r="AJF94" s="22"/>
      <c r="AJG94" s="22"/>
      <c r="AJH94" s="22"/>
      <c r="AJI94" s="22"/>
      <c r="AJJ94" s="22"/>
      <c r="AJK94" s="22"/>
      <c r="AJL94" s="22"/>
      <c r="AJM94" s="22"/>
      <c r="AJN94" s="22"/>
      <c r="AJO94" s="22"/>
      <c r="AJP94" s="22"/>
      <c r="AJQ94" s="22"/>
      <c r="AJR94" s="22"/>
      <c r="AJS94" s="22"/>
      <c r="AJT94" s="22"/>
      <c r="AJU94" s="22"/>
      <c r="AJV94" s="22"/>
      <c r="AJW94" s="22"/>
      <c r="AJX94" s="22"/>
      <c r="AJY94" s="22"/>
      <c r="AJZ94" s="22"/>
      <c r="AKA94" s="22"/>
      <c r="AKB94" s="22"/>
      <c r="AKC94" s="22"/>
      <c r="AKD94" s="22"/>
      <c r="AKE94" s="22"/>
      <c r="AKF94" s="22"/>
      <c r="AKG94" s="22"/>
      <c r="AKH94" s="22"/>
      <c r="AKI94" s="22"/>
      <c r="AKJ94" s="22"/>
      <c r="AKK94" s="22"/>
      <c r="AKL94" s="22"/>
      <c r="AKM94" s="22"/>
      <c r="AKN94" s="22"/>
      <c r="AKO94" s="22"/>
      <c r="AKP94" s="22"/>
      <c r="AKQ94" s="22"/>
      <c r="AKR94" s="22"/>
      <c r="AKS94" s="22"/>
      <c r="AKT94" s="22"/>
      <c r="AKU94" s="22"/>
      <c r="AKV94" s="22"/>
      <c r="AKW94" s="22"/>
      <c r="AKX94" s="22"/>
      <c r="AKY94" s="22"/>
      <c r="AKZ94" s="22"/>
      <c r="ALA94" s="22"/>
      <c r="ALB94" s="22"/>
      <c r="ALC94" s="22"/>
      <c r="ALD94" s="22"/>
      <c r="ALE94" s="22"/>
      <c r="ALF94" s="22"/>
      <c r="ALG94" s="22"/>
      <c r="ALH94" s="22"/>
      <c r="ALI94" s="22"/>
      <c r="ALJ94" s="22"/>
      <c r="ALK94" s="22"/>
      <c r="ALL94" s="22"/>
      <c r="ALM94" s="22"/>
      <c r="ALN94" s="22"/>
      <c r="ALO94" s="22"/>
      <c r="ALP94" s="22"/>
      <c r="ALQ94" s="22"/>
      <c r="ALR94" s="22"/>
      <c r="ALS94" s="22"/>
      <c r="ALT94" s="22"/>
      <c r="ALU94" s="22"/>
      <c r="ALV94" s="22"/>
      <c r="ALW94" s="22"/>
      <c r="ALX94" s="22"/>
      <c r="ALY94" s="22"/>
      <c r="ALZ94" s="22"/>
      <c r="AMA94" s="22"/>
      <c r="AMB94" s="22"/>
      <c r="AMC94" s="22"/>
      <c r="AMD94" s="22"/>
      <c r="AME94" s="22"/>
      <c r="AMF94" s="22"/>
      <c r="AMG94" s="22"/>
      <c r="AMH94" s="22"/>
      <c r="AMI94" s="22"/>
      <c r="AMJ94" s="22"/>
      <c r="AMK94" s="22"/>
      <c r="AML94" s="22"/>
      <c r="AMM94" s="22"/>
      <c r="AMN94" s="22"/>
      <c r="AMO94" s="22"/>
      <c r="AMP94" s="22"/>
      <c r="AMQ94" s="22"/>
      <c r="AMR94" s="22"/>
      <c r="AMS94" s="22"/>
      <c r="AMT94" s="22"/>
      <c r="AMU94" s="22"/>
      <c r="AMV94" s="22"/>
      <c r="AMW94" s="22"/>
      <c r="AMX94" s="22"/>
      <c r="AMY94" s="22"/>
      <c r="AMZ94" s="22"/>
      <c r="ANA94" s="22"/>
      <c r="ANB94" s="22"/>
      <c r="ANC94" s="22"/>
      <c r="AND94" s="22"/>
      <c r="ANE94" s="22"/>
      <c r="ANF94" s="22"/>
      <c r="ANG94" s="22"/>
      <c r="ANH94" s="22"/>
      <c r="ANI94" s="22"/>
      <c r="ANJ94" s="22"/>
      <c r="ANK94" s="22"/>
      <c r="ANL94" s="22"/>
      <c r="ANM94" s="22"/>
      <c r="ANN94" s="22"/>
      <c r="ANO94" s="22"/>
      <c r="ANP94" s="22"/>
      <c r="ANQ94" s="22"/>
      <c r="ANR94" s="22"/>
      <c r="ANS94" s="22"/>
      <c r="ANT94" s="22"/>
      <c r="ANU94" s="22"/>
      <c r="ANV94" s="22"/>
      <c r="ANW94" s="22"/>
      <c r="ANX94" s="22"/>
      <c r="ANY94" s="22"/>
      <c r="ANZ94" s="22"/>
      <c r="AOA94" s="22"/>
      <c r="AOB94" s="22"/>
      <c r="AOC94" s="22"/>
      <c r="AOD94" s="22"/>
      <c r="AOE94" s="22"/>
      <c r="AOF94" s="22"/>
      <c r="AOG94" s="22"/>
      <c r="AOH94" s="22"/>
      <c r="AOI94" s="22"/>
      <c r="AOJ94" s="22"/>
      <c r="AOK94" s="22"/>
      <c r="AOL94" s="22"/>
      <c r="AOM94" s="22"/>
      <c r="AON94" s="22"/>
      <c r="AOO94" s="22"/>
      <c r="AOP94" s="22"/>
      <c r="AOQ94" s="22"/>
      <c r="AOR94" s="22"/>
      <c r="AOS94" s="22"/>
      <c r="AOT94" s="22"/>
      <c r="AOU94" s="22"/>
      <c r="AOV94" s="22"/>
      <c r="AOW94" s="22"/>
      <c r="AOX94" s="22"/>
      <c r="AOY94" s="22"/>
      <c r="AOZ94" s="22"/>
      <c r="APA94" s="22"/>
      <c r="APB94" s="22"/>
      <c r="APC94" s="22"/>
      <c r="APD94" s="22"/>
      <c r="APE94" s="22"/>
      <c r="APF94" s="22"/>
      <c r="APG94" s="22"/>
      <c r="APH94" s="22"/>
      <c r="API94" s="22"/>
      <c r="APJ94" s="22"/>
      <c r="APK94" s="22"/>
      <c r="APL94" s="22"/>
      <c r="APM94" s="22"/>
      <c r="APN94" s="22"/>
      <c r="APO94" s="22"/>
      <c r="APP94" s="22"/>
      <c r="APQ94" s="22"/>
      <c r="APR94" s="22"/>
      <c r="APS94" s="22"/>
      <c r="APT94" s="22"/>
      <c r="APU94" s="22"/>
      <c r="APV94" s="22"/>
      <c r="APW94" s="22"/>
      <c r="APX94" s="22"/>
      <c r="APY94" s="22"/>
      <c r="APZ94" s="22"/>
      <c r="AQA94" s="22"/>
      <c r="AQB94" s="22"/>
      <c r="AQC94" s="22"/>
      <c r="AQD94" s="22"/>
      <c r="AQE94" s="22"/>
      <c r="AQF94" s="22"/>
      <c r="AQG94" s="22"/>
      <c r="AQH94" s="22"/>
      <c r="AQI94" s="22"/>
      <c r="AQJ94" s="22"/>
      <c r="AQK94" s="22"/>
      <c r="AQL94" s="22"/>
      <c r="AQM94" s="22"/>
      <c r="AQN94" s="22"/>
      <c r="AQO94" s="22"/>
      <c r="AQP94" s="22"/>
      <c r="AQQ94" s="22"/>
      <c r="AQR94" s="22"/>
      <c r="AQS94" s="22"/>
      <c r="AQT94" s="22"/>
      <c r="AQU94" s="22"/>
      <c r="AQV94" s="22"/>
      <c r="AQW94" s="22"/>
      <c r="AQX94" s="22"/>
      <c r="AQY94" s="22"/>
      <c r="AQZ94" s="22"/>
      <c r="ARA94" s="22"/>
      <c r="ARB94" s="22"/>
      <c r="ARC94" s="22"/>
      <c r="ARD94" s="22"/>
      <c r="ARE94" s="22"/>
      <c r="ARF94" s="22"/>
      <c r="ARG94" s="22"/>
      <c r="ARH94" s="22"/>
      <c r="ARI94" s="22"/>
      <c r="ARJ94" s="22"/>
      <c r="ARK94" s="22"/>
      <c r="ARL94" s="22"/>
      <c r="ARM94" s="22"/>
      <c r="ARN94" s="22"/>
      <c r="ARO94" s="22"/>
      <c r="ARP94" s="22"/>
      <c r="ARQ94" s="22"/>
      <c r="ARR94" s="22"/>
      <c r="ARS94" s="22"/>
      <c r="ART94" s="22"/>
      <c r="ARU94" s="22"/>
      <c r="ARV94" s="22"/>
      <c r="ARW94" s="22"/>
      <c r="ARX94" s="22"/>
      <c r="ARY94" s="22"/>
      <c r="ARZ94" s="22"/>
      <c r="ASA94" s="22"/>
      <c r="ASB94" s="22"/>
      <c r="ASC94" s="22"/>
      <c r="ASD94" s="22"/>
      <c r="ASE94" s="22"/>
      <c r="ASF94" s="22"/>
      <c r="ASG94" s="22"/>
      <c r="ASH94" s="22"/>
      <c r="ASI94" s="22"/>
      <c r="ASJ94" s="22"/>
      <c r="ASK94" s="22"/>
      <c r="ASL94" s="22"/>
      <c r="ASM94" s="22"/>
      <c r="ASN94" s="22"/>
      <c r="ASO94" s="22"/>
      <c r="ASP94" s="22"/>
      <c r="ASQ94" s="22"/>
      <c r="ASR94" s="22"/>
      <c r="ASS94" s="22"/>
      <c r="AST94" s="22"/>
      <c r="ASU94" s="22"/>
      <c r="ASV94" s="22"/>
      <c r="ASW94" s="22"/>
      <c r="ASX94" s="22"/>
      <c r="ASY94" s="22"/>
      <c r="ASZ94" s="22"/>
      <c r="ATA94" s="22"/>
      <c r="ATB94" s="22"/>
      <c r="ATC94" s="22"/>
      <c r="ATD94" s="22"/>
      <c r="ATE94" s="22"/>
      <c r="ATF94" s="22"/>
      <c r="ATG94" s="22"/>
      <c r="ATH94" s="22"/>
      <c r="ATI94" s="22"/>
      <c r="ATJ94" s="22"/>
      <c r="ATK94" s="22"/>
      <c r="ATL94" s="22"/>
      <c r="ATM94" s="22"/>
      <c r="ATN94" s="22"/>
      <c r="ATO94" s="22"/>
      <c r="ATP94" s="22"/>
      <c r="ATQ94" s="22"/>
      <c r="ATR94" s="22"/>
      <c r="ATS94" s="22"/>
      <c r="ATT94" s="22"/>
      <c r="ATU94" s="22"/>
      <c r="ATV94" s="22"/>
      <c r="ATW94" s="22"/>
      <c r="ATX94" s="22"/>
      <c r="ATY94" s="22"/>
      <c r="ATZ94" s="22"/>
      <c r="AUA94" s="22"/>
      <c r="AUB94" s="22"/>
      <c r="AUC94" s="22"/>
      <c r="AUD94" s="22"/>
      <c r="AUE94" s="22"/>
      <c r="AUF94" s="22"/>
      <c r="AUG94" s="22"/>
      <c r="AUH94" s="22"/>
      <c r="AUI94" s="22"/>
      <c r="AUJ94" s="22"/>
      <c r="AUK94" s="22"/>
      <c r="AUL94" s="22"/>
      <c r="AUM94" s="22"/>
      <c r="AUN94" s="22"/>
      <c r="AUO94" s="22"/>
      <c r="AUP94" s="22"/>
      <c r="AUQ94" s="22"/>
      <c r="AUR94" s="22"/>
      <c r="AUS94" s="22"/>
      <c r="AUT94" s="22"/>
      <c r="AUU94" s="22"/>
      <c r="AUV94" s="22"/>
      <c r="AUW94" s="22"/>
      <c r="AUX94" s="22"/>
      <c r="AUY94" s="22"/>
      <c r="AUZ94" s="22"/>
      <c r="AVA94" s="22"/>
      <c r="AVB94" s="22"/>
      <c r="AVC94" s="22"/>
      <c r="AVD94" s="22"/>
      <c r="AVE94" s="22"/>
      <c r="AVF94" s="22"/>
      <c r="AVG94" s="22"/>
      <c r="AVH94" s="22"/>
      <c r="AVI94" s="22"/>
      <c r="AVJ94" s="22"/>
      <c r="AVK94" s="22"/>
      <c r="AVL94" s="22"/>
      <c r="AVM94" s="22"/>
      <c r="AVN94" s="22"/>
      <c r="AVO94" s="22"/>
      <c r="AVP94" s="22"/>
      <c r="AVQ94" s="22"/>
      <c r="AVR94" s="22"/>
      <c r="AVS94" s="22"/>
      <c r="AVT94" s="22"/>
      <c r="AVU94" s="22"/>
      <c r="AVV94" s="22"/>
      <c r="AVW94" s="22"/>
      <c r="AVX94" s="22"/>
      <c r="AVY94" s="22"/>
      <c r="AVZ94" s="22"/>
      <c r="AWA94" s="22"/>
      <c r="AWB94" s="22"/>
      <c r="AWC94" s="22"/>
      <c r="AWD94" s="22"/>
      <c r="AWE94" s="22"/>
      <c r="AWF94" s="22"/>
      <c r="AWG94" s="22"/>
      <c r="AWH94" s="22"/>
      <c r="AWI94" s="22"/>
      <c r="AWJ94" s="22"/>
      <c r="AWK94" s="22"/>
      <c r="AWL94" s="22"/>
      <c r="AWM94" s="22"/>
      <c r="AWN94" s="22"/>
      <c r="AWO94" s="22"/>
      <c r="AWP94" s="22"/>
      <c r="AWQ94" s="22"/>
      <c r="AWR94" s="22"/>
      <c r="AWS94" s="22"/>
      <c r="AWT94" s="22"/>
      <c r="AWU94" s="22"/>
      <c r="AWV94" s="22"/>
      <c r="AWW94" s="22"/>
      <c r="AWX94" s="22"/>
      <c r="AWY94" s="22"/>
      <c r="AWZ94" s="22"/>
      <c r="AXA94" s="22"/>
      <c r="AXB94" s="22"/>
      <c r="AXC94" s="22"/>
      <c r="AXD94" s="22"/>
      <c r="AXE94" s="22"/>
      <c r="AXF94" s="22"/>
      <c r="AXG94" s="22"/>
      <c r="AXH94" s="22"/>
      <c r="AXI94" s="22"/>
      <c r="AXJ94" s="22"/>
      <c r="AXK94" s="22"/>
      <c r="AXL94" s="22"/>
      <c r="AXM94" s="22"/>
      <c r="AXN94" s="22"/>
      <c r="AXO94" s="22"/>
      <c r="AXP94" s="22"/>
      <c r="AXQ94" s="22"/>
      <c r="AXR94" s="22"/>
      <c r="AXS94" s="22"/>
      <c r="AXT94" s="22"/>
      <c r="AXU94" s="22"/>
      <c r="AXV94" s="22"/>
      <c r="AXW94" s="22"/>
      <c r="AXX94" s="22"/>
      <c r="AXY94" s="22"/>
      <c r="AXZ94" s="22"/>
      <c r="AYA94" s="22"/>
      <c r="AYB94" s="22"/>
      <c r="AYC94" s="22"/>
      <c r="AYD94" s="22"/>
      <c r="AYE94" s="22"/>
      <c r="AYF94" s="22"/>
      <c r="AYG94" s="22"/>
      <c r="AYH94" s="22"/>
      <c r="AYI94" s="22"/>
      <c r="AYJ94" s="22"/>
      <c r="AYK94" s="22"/>
      <c r="AYL94" s="22"/>
      <c r="AYM94" s="22"/>
      <c r="AYN94" s="22"/>
      <c r="AYO94" s="22"/>
      <c r="AYP94" s="22"/>
      <c r="AYQ94" s="22"/>
      <c r="AYR94" s="22"/>
      <c r="AYS94" s="22"/>
      <c r="AYT94" s="22"/>
      <c r="AYU94" s="22"/>
      <c r="AYV94" s="22"/>
      <c r="AYW94" s="22"/>
      <c r="AYX94" s="22"/>
      <c r="AYY94" s="22"/>
      <c r="AYZ94" s="22"/>
      <c r="AZA94" s="22"/>
      <c r="AZB94" s="22"/>
      <c r="AZC94" s="22"/>
      <c r="AZD94" s="22"/>
      <c r="AZE94" s="22"/>
      <c r="AZF94" s="22"/>
      <c r="AZG94" s="22"/>
      <c r="AZH94" s="22"/>
      <c r="AZI94" s="22"/>
      <c r="AZJ94" s="22"/>
      <c r="AZK94" s="22"/>
      <c r="AZL94" s="22"/>
      <c r="AZM94" s="22"/>
      <c r="AZN94" s="22"/>
      <c r="AZO94" s="22"/>
      <c r="AZP94" s="22"/>
      <c r="AZQ94" s="22"/>
      <c r="AZR94" s="22"/>
      <c r="AZS94" s="22"/>
      <c r="AZT94" s="22"/>
      <c r="AZU94" s="22"/>
      <c r="AZV94" s="22"/>
      <c r="AZW94" s="22"/>
      <c r="AZX94" s="22"/>
      <c r="AZY94" s="22"/>
      <c r="AZZ94" s="22"/>
      <c r="BAA94" s="22"/>
      <c r="BAB94" s="22"/>
      <c r="BAC94" s="22"/>
      <c r="BAD94" s="22"/>
      <c r="BAE94" s="22"/>
      <c r="BAF94" s="22"/>
      <c r="BAG94" s="22"/>
      <c r="BAH94" s="22"/>
      <c r="BAI94" s="22"/>
      <c r="BAJ94" s="22"/>
      <c r="BAK94" s="22"/>
      <c r="BAL94" s="22"/>
      <c r="BAM94" s="22"/>
      <c r="BAN94" s="22"/>
      <c r="BAO94" s="22"/>
      <c r="BAP94" s="22"/>
      <c r="BAQ94" s="22"/>
      <c r="BAR94" s="22"/>
      <c r="BAS94" s="22"/>
      <c r="BAT94" s="22"/>
      <c r="BAU94" s="22"/>
      <c r="BAV94" s="22"/>
      <c r="BAW94" s="22"/>
      <c r="BAX94" s="22"/>
      <c r="BAY94" s="22"/>
      <c r="BAZ94" s="22"/>
      <c r="BBA94" s="22"/>
      <c r="BBB94" s="22"/>
      <c r="BBC94" s="22"/>
      <c r="BBD94" s="22"/>
      <c r="BBE94" s="22"/>
      <c r="BBF94" s="22"/>
      <c r="BBG94" s="22"/>
      <c r="BBH94" s="22"/>
      <c r="BBI94" s="22"/>
      <c r="BBJ94" s="22"/>
      <c r="BBK94" s="22"/>
      <c r="BBL94" s="22"/>
      <c r="BBM94" s="22"/>
      <c r="BBN94" s="22"/>
      <c r="BBO94" s="22"/>
      <c r="BBP94" s="22"/>
      <c r="BBQ94" s="22"/>
      <c r="BBR94" s="22"/>
      <c r="BBS94" s="22"/>
      <c r="BBT94" s="22"/>
      <c r="BBU94" s="22"/>
      <c r="BBV94" s="22"/>
      <c r="BBW94" s="22"/>
      <c r="BBX94" s="22"/>
      <c r="BBY94" s="22"/>
      <c r="BBZ94" s="22"/>
      <c r="BCA94" s="22"/>
      <c r="BCB94" s="22"/>
      <c r="BCC94" s="22"/>
      <c r="BCD94" s="22"/>
      <c r="BCE94" s="22"/>
      <c r="BCF94" s="22"/>
      <c r="BCG94" s="22"/>
      <c r="BCH94" s="22"/>
      <c r="BCI94" s="22"/>
      <c r="BCJ94" s="22"/>
      <c r="BCK94" s="22"/>
      <c r="BCL94" s="22"/>
      <c r="BCM94" s="22"/>
      <c r="BCN94" s="22"/>
      <c r="BCO94" s="22"/>
      <c r="BCP94" s="22"/>
      <c r="BCQ94" s="22"/>
      <c r="BCR94" s="22"/>
      <c r="BCS94" s="22"/>
      <c r="BCT94" s="22"/>
      <c r="BCU94" s="22"/>
      <c r="BCV94" s="22"/>
      <c r="BCW94" s="22"/>
      <c r="BCX94" s="22"/>
      <c r="BCY94" s="22"/>
      <c r="BCZ94" s="22"/>
      <c r="BDA94" s="22"/>
      <c r="BDB94" s="22"/>
      <c r="BDC94" s="22"/>
      <c r="BDD94" s="22"/>
      <c r="BDE94" s="22"/>
      <c r="BDF94" s="22"/>
      <c r="BDG94" s="22"/>
      <c r="BDH94" s="22"/>
      <c r="BDI94" s="22"/>
      <c r="BDJ94" s="22"/>
      <c r="BDK94" s="22"/>
      <c r="BDL94" s="22"/>
      <c r="BDM94" s="22"/>
      <c r="BDN94" s="22"/>
      <c r="BDO94" s="22"/>
      <c r="BDP94" s="22"/>
      <c r="BDQ94" s="22"/>
      <c r="BDR94" s="22"/>
      <c r="BDS94" s="22"/>
      <c r="BDT94" s="22"/>
      <c r="BDU94" s="22"/>
      <c r="BDV94" s="22"/>
      <c r="BDW94" s="22"/>
      <c r="BDX94" s="22"/>
      <c r="BDY94" s="22"/>
      <c r="BDZ94" s="22"/>
      <c r="BEA94" s="22"/>
      <c r="BEB94" s="22"/>
      <c r="BEC94" s="22"/>
      <c r="BED94" s="22"/>
      <c r="BEE94" s="22"/>
      <c r="BEF94" s="22"/>
      <c r="BEG94" s="22"/>
      <c r="BEH94" s="22"/>
      <c r="BEI94" s="22"/>
      <c r="BEJ94" s="22"/>
      <c r="BEK94" s="22"/>
      <c r="BEL94" s="22"/>
      <c r="BEM94" s="22"/>
      <c r="BEN94" s="22"/>
      <c r="BEO94" s="22"/>
      <c r="BEP94" s="22"/>
      <c r="BEQ94" s="22"/>
      <c r="BER94" s="22"/>
      <c r="BES94" s="22"/>
      <c r="BET94" s="22"/>
      <c r="BEU94" s="22"/>
      <c r="BEV94" s="22"/>
      <c r="BEW94" s="22"/>
      <c r="BEX94" s="22"/>
      <c r="BEY94" s="22"/>
      <c r="BEZ94" s="22"/>
      <c r="BFA94" s="22"/>
      <c r="BFB94" s="22"/>
      <c r="BFC94" s="22"/>
      <c r="BFD94" s="22"/>
      <c r="BFE94" s="22"/>
      <c r="BFF94" s="22"/>
      <c r="BFG94" s="22"/>
      <c r="BFH94" s="22"/>
      <c r="BFI94" s="22"/>
      <c r="BFJ94" s="22"/>
      <c r="BFK94" s="22"/>
      <c r="BFL94" s="22"/>
      <c r="BFM94" s="22"/>
      <c r="BFN94" s="22"/>
      <c r="BFO94" s="22"/>
      <c r="BFP94" s="22"/>
      <c r="BFQ94" s="22"/>
      <c r="BFR94" s="22"/>
      <c r="BFS94" s="22"/>
      <c r="BFT94" s="22"/>
      <c r="BFU94" s="22"/>
      <c r="BFV94" s="22"/>
      <c r="BFW94" s="22"/>
    </row>
    <row r="95" spans="1:1531" s="208" customFormat="1" ht="46.15" customHeight="1" x14ac:dyDescent="0.2">
      <c r="A95" s="305" t="s">
        <v>528</v>
      </c>
      <c r="B95" s="286"/>
      <c r="C95" s="122" t="s">
        <v>558</v>
      </c>
      <c r="D95" s="286"/>
      <c r="E95" s="286" t="s">
        <v>838</v>
      </c>
      <c r="F95" s="286"/>
      <c r="G95" s="286" t="s">
        <v>536</v>
      </c>
      <c r="H95" s="174"/>
      <c r="I95" s="281">
        <v>89</v>
      </c>
      <c r="J95" s="176"/>
      <c r="K95" s="122" t="s">
        <v>117</v>
      </c>
      <c r="L95" s="176"/>
      <c r="M95" s="176"/>
      <c r="N95" s="176"/>
      <c r="O95" s="176">
        <v>2015</v>
      </c>
      <c r="P95" s="162" t="s">
        <v>750</v>
      </c>
      <c r="Q95" s="176"/>
      <c r="R95" s="176"/>
      <c r="S95" s="282"/>
      <c r="T95" s="176"/>
      <c r="U95" s="176"/>
      <c r="V95" s="176"/>
      <c r="W95" s="176"/>
      <c r="X95" s="176"/>
      <c r="Y95" s="283"/>
      <c r="Z95" s="176"/>
      <c r="AA95" s="282"/>
      <c r="AB95" s="176"/>
      <c r="AC95" s="176"/>
      <c r="AD95" s="176"/>
      <c r="AE95" s="176"/>
      <c r="AF95" s="176"/>
      <c r="AG95" s="176"/>
      <c r="AH95" s="176"/>
      <c r="AI95" s="176"/>
      <c r="AJ95" s="176"/>
      <c r="AK95" s="176"/>
      <c r="AL95" s="176">
        <v>18</v>
      </c>
      <c r="AM95" s="176"/>
      <c r="AN95" s="284">
        <v>1602</v>
      </c>
      <c r="AU95" s="285"/>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22"/>
      <c r="IZ95" s="22"/>
      <c r="JA95" s="22"/>
      <c r="JB95" s="22"/>
      <c r="JC95" s="22"/>
      <c r="JD95" s="22"/>
      <c r="JE95" s="22"/>
      <c r="JF95" s="22"/>
      <c r="JG95" s="22"/>
      <c r="JH95" s="22"/>
      <c r="JI95" s="22"/>
      <c r="JJ95" s="22"/>
      <c r="JK95" s="22"/>
      <c r="JL95" s="22"/>
      <c r="JM95" s="22"/>
      <c r="JN95" s="22"/>
      <c r="JO95" s="22"/>
      <c r="JP95" s="22"/>
      <c r="JQ95" s="22"/>
      <c r="JR95" s="22"/>
      <c r="JS95" s="22"/>
      <c r="JT95" s="22"/>
      <c r="JU95" s="22"/>
      <c r="JV95" s="22"/>
      <c r="JW95" s="22"/>
      <c r="JX95" s="22"/>
      <c r="JY95" s="22"/>
      <c r="JZ95" s="22"/>
      <c r="KA95" s="22"/>
      <c r="KB95" s="22"/>
      <c r="KC95" s="22"/>
      <c r="KD95" s="22"/>
      <c r="KE95" s="22"/>
      <c r="KF95" s="22"/>
      <c r="KG95" s="22"/>
      <c r="KH95" s="22"/>
      <c r="KI95" s="22"/>
      <c r="KJ95" s="22"/>
      <c r="KK95" s="22"/>
      <c r="KL95" s="22"/>
      <c r="KM95" s="22"/>
      <c r="KN95" s="22"/>
      <c r="KO95" s="22"/>
      <c r="KP95" s="22"/>
      <c r="KQ95" s="22"/>
      <c r="KR95" s="22"/>
      <c r="KS95" s="22"/>
      <c r="KT95" s="22"/>
      <c r="KU95" s="22"/>
      <c r="KV95" s="22"/>
      <c r="KW95" s="22"/>
      <c r="KX95" s="22"/>
      <c r="KY95" s="22"/>
      <c r="KZ95" s="22"/>
      <c r="LA95" s="22"/>
      <c r="LB95" s="22"/>
      <c r="LC95" s="22"/>
      <c r="LD95" s="22"/>
      <c r="LE95" s="22"/>
      <c r="LF95" s="22"/>
      <c r="LG95" s="22"/>
      <c r="LH95" s="22"/>
      <c r="LI95" s="22"/>
      <c r="LJ95" s="22"/>
      <c r="LK95" s="22"/>
      <c r="LL95" s="22"/>
      <c r="LM95" s="22"/>
      <c r="LN95" s="22"/>
      <c r="LO95" s="22"/>
      <c r="LP95" s="22"/>
      <c r="LQ95" s="22"/>
      <c r="LR95" s="22"/>
      <c r="LS95" s="22"/>
      <c r="LT95" s="22"/>
      <c r="LU95" s="22"/>
      <c r="LV95" s="22"/>
      <c r="LW95" s="22"/>
      <c r="LX95" s="22"/>
      <c r="LY95" s="22"/>
      <c r="LZ95" s="22"/>
      <c r="MA95" s="22"/>
      <c r="MB95" s="22"/>
      <c r="MC95" s="22"/>
      <c r="MD95" s="22"/>
      <c r="ME95" s="22"/>
      <c r="MF95" s="22"/>
      <c r="MG95" s="22"/>
      <c r="MH95" s="22"/>
      <c r="MI95" s="22"/>
      <c r="MJ95" s="22"/>
      <c r="MK95" s="22"/>
      <c r="ML95" s="22"/>
      <c r="MM95" s="22"/>
      <c r="MN95" s="22"/>
      <c r="MO95" s="22"/>
      <c r="MP95" s="22"/>
      <c r="MQ95" s="22"/>
      <c r="MR95" s="22"/>
      <c r="MS95" s="22"/>
      <c r="MT95" s="22"/>
      <c r="MU95" s="22"/>
      <c r="MV95" s="22"/>
      <c r="MW95" s="22"/>
      <c r="MX95" s="22"/>
      <c r="MY95" s="22"/>
      <c r="MZ95" s="22"/>
      <c r="NA95" s="22"/>
      <c r="NB95" s="22"/>
      <c r="NC95" s="22"/>
      <c r="ND95" s="22"/>
      <c r="NE95" s="22"/>
      <c r="NF95" s="22"/>
      <c r="NG95" s="22"/>
      <c r="NH95" s="22"/>
      <c r="NI95" s="22"/>
      <c r="NJ95" s="22"/>
      <c r="NK95" s="22"/>
      <c r="NL95" s="22"/>
      <c r="NM95" s="22"/>
      <c r="NN95" s="22"/>
      <c r="NO95" s="22"/>
      <c r="NP95" s="22"/>
      <c r="NQ95" s="22"/>
      <c r="NR95" s="22"/>
      <c r="NS95" s="22"/>
      <c r="NT95" s="22"/>
      <c r="NU95" s="22"/>
      <c r="NV95" s="22"/>
      <c r="NW95" s="22"/>
      <c r="NX95" s="22"/>
      <c r="NY95" s="22"/>
      <c r="NZ95" s="22"/>
      <c r="OA95" s="22"/>
      <c r="OB95" s="22"/>
      <c r="OC95" s="22"/>
      <c r="OD95" s="22"/>
      <c r="OE95" s="22"/>
      <c r="OF95" s="22"/>
      <c r="OG95" s="22"/>
      <c r="OH95" s="22"/>
      <c r="OI95" s="22"/>
      <c r="OJ95" s="22"/>
      <c r="OK95" s="22"/>
      <c r="OL95" s="22"/>
      <c r="OM95" s="22"/>
      <c r="ON95" s="22"/>
      <c r="OO95" s="22"/>
      <c r="OP95" s="22"/>
      <c r="OQ95" s="22"/>
      <c r="OR95" s="22"/>
      <c r="OS95" s="22"/>
      <c r="OT95" s="22"/>
      <c r="OU95" s="22"/>
      <c r="OV95" s="22"/>
      <c r="OW95" s="22"/>
      <c r="OX95" s="22"/>
      <c r="OY95" s="22"/>
      <c r="OZ95" s="22"/>
      <c r="PA95" s="22"/>
      <c r="PB95" s="22"/>
      <c r="PC95" s="22"/>
      <c r="PD95" s="22"/>
      <c r="PE95" s="22"/>
      <c r="PF95" s="22"/>
      <c r="PG95" s="22"/>
      <c r="PH95" s="22"/>
      <c r="PI95" s="22"/>
      <c r="PJ95" s="22"/>
      <c r="PK95" s="22"/>
      <c r="PL95" s="22"/>
      <c r="PM95" s="22"/>
      <c r="PN95" s="22"/>
      <c r="PO95" s="22"/>
      <c r="PP95" s="22"/>
      <c r="PQ95" s="22"/>
      <c r="PR95" s="22"/>
      <c r="PS95" s="22"/>
      <c r="PT95" s="22"/>
      <c r="PU95" s="22"/>
      <c r="PV95" s="22"/>
      <c r="PW95" s="22"/>
      <c r="PX95" s="22"/>
      <c r="PY95" s="22"/>
      <c r="PZ95" s="22"/>
      <c r="QA95" s="22"/>
      <c r="QB95" s="22"/>
      <c r="QC95" s="22"/>
      <c r="QD95" s="22"/>
      <c r="QE95" s="22"/>
      <c r="QF95" s="22"/>
      <c r="QG95" s="22"/>
      <c r="QH95" s="22"/>
      <c r="QI95" s="22"/>
      <c r="QJ95" s="22"/>
      <c r="QK95" s="22"/>
      <c r="QL95" s="22"/>
      <c r="QM95" s="22"/>
      <c r="QN95" s="22"/>
      <c r="QO95" s="22"/>
      <c r="QP95" s="22"/>
      <c r="QQ95" s="22"/>
      <c r="QR95" s="22"/>
      <c r="QS95" s="22"/>
      <c r="QT95" s="22"/>
      <c r="QU95" s="22"/>
      <c r="QV95" s="22"/>
      <c r="QW95" s="22"/>
      <c r="QX95" s="22"/>
      <c r="QY95" s="22"/>
      <c r="QZ95" s="22"/>
      <c r="RA95" s="22"/>
      <c r="RB95" s="22"/>
      <c r="RC95" s="22"/>
      <c r="RD95" s="22"/>
      <c r="RE95" s="22"/>
      <c r="RF95" s="22"/>
      <c r="RG95" s="22"/>
      <c r="RH95" s="22"/>
      <c r="RI95" s="22"/>
      <c r="RJ95" s="22"/>
      <c r="RK95" s="22"/>
      <c r="RL95" s="22"/>
      <c r="RM95" s="22"/>
      <c r="RN95" s="22"/>
      <c r="RO95" s="22"/>
      <c r="RP95" s="22"/>
      <c r="RQ95" s="22"/>
      <c r="RR95" s="22"/>
      <c r="RS95" s="22"/>
      <c r="RT95" s="22"/>
      <c r="RU95" s="22"/>
      <c r="RV95" s="22"/>
      <c r="RW95" s="22"/>
      <c r="RX95" s="22"/>
      <c r="RY95" s="22"/>
      <c r="RZ95" s="22"/>
      <c r="SA95" s="22"/>
      <c r="SB95" s="22"/>
      <c r="SC95" s="22"/>
      <c r="SD95" s="22"/>
      <c r="SE95" s="22"/>
      <c r="SF95" s="22"/>
      <c r="SG95" s="22"/>
      <c r="SH95" s="22"/>
      <c r="SI95" s="22"/>
      <c r="SJ95" s="22"/>
      <c r="SK95" s="22"/>
      <c r="SL95" s="22"/>
      <c r="SM95" s="22"/>
      <c r="SN95" s="22"/>
      <c r="SO95" s="22"/>
      <c r="SP95" s="22"/>
      <c r="SQ95" s="22"/>
      <c r="SR95" s="22"/>
      <c r="SS95" s="22"/>
      <c r="ST95" s="22"/>
      <c r="SU95" s="22"/>
      <c r="SV95" s="22"/>
      <c r="SW95" s="22"/>
      <c r="SX95" s="22"/>
      <c r="SY95" s="22"/>
      <c r="SZ95" s="22"/>
      <c r="TA95" s="22"/>
      <c r="TB95" s="22"/>
      <c r="TC95" s="22"/>
      <c r="TD95" s="22"/>
      <c r="TE95" s="22"/>
      <c r="TF95" s="22"/>
      <c r="TG95" s="22"/>
      <c r="TH95" s="22"/>
      <c r="TI95" s="22"/>
      <c r="TJ95" s="22"/>
      <c r="TK95" s="22"/>
      <c r="TL95" s="22"/>
      <c r="TM95" s="22"/>
      <c r="TN95" s="22"/>
      <c r="TO95" s="22"/>
      <c r="TP95" s="22"/>
      <c r="TQ95" s="22"/>
      <c r="TR95" s="22"/>
      <c r="TS95" s="22"/>
      <c r="TT95" s="22"/>
      <c r="TU95" s="22"/>
      <c r="TV95" s="22"/>
      <c r="TW95" s="22"/>
      <c r="TX95" s="22"/>
      <c r="TY95" s="22"/>
      <c r="TZ95" s="22"/>
      <c r="UA95" s="22"/>
      <c r="UB95" s="22"/>
      <c r="UC95" s="22"/>
      <c r="UD95" s="22"/>
      <c r="UE95" s="22"/>
      <c r="UF95" s="22"/>
      <c r="UG95" s="22"/>
      <c r="UH95" s="22"/>
      <c r="UI95" s="22"/>
      <c r="UJ95" s="22"/>
      <c r="UK95" s="22"/>
      <c r="UL95" s="22"/>
      <c r="UM95" s="22"/>
      <c r="UN95" s="22"/>
      <c r="UO95" s="22"/>
      <c r="UP95" s="22"/>
      <c r="UQ95" s="22"/>
      <c r="UR95" s="22"/>
      <c r="US95" s="22"/>
      <c r="UT95" s="22"/>
      <c r="UU95" s="22"/>
      <c r="UV95" s="22"/>
      <c r="UW95" s="22"/>
      <c r="UX95" s="22"/>
      <c r="UY95" s="22"/>
      <c r="UZ95" s="22"/>
      <c r="VA95" s="22"/>
      <c r="VB95" s="22"/>
      <c r="VC95" s="22"/>
      <c r="VD95" s="22"/>
      <c r="VE95" s="22"/>
      <c r="VF95" s="22"/>
      <c r="VG95" s="22"/>
      <c r="VH95" s="22"/>
      <c r="VI95" s="22"/>
      <c r="VJ95" s="22"/>
      <c r="VK95" s="22"/>
      <c r="VL95" s="22"/>
      <c r="VM95" s="22"/>
      <c r="VN95" s="22"/>
      <c r="VO95" s="22"/>
      <c r="VP95" s="22"/>
      <c r="VQ95" s="22"/>
      <c r="VR95" s="22"/>
      <c r="VS95" s="22"/>
      <c r="VT95" s="22"/>
      <c r="VU95" s="22"/>
      <c r="VV95" s="22"/>
      <c r="VW95" s="22"/>
      <c r="VX95" s="22"/>
      <c r="VY95" s="22"/>
      <c r="VZ95" s="22"/>
      <c r="WA95" s="22"/>
      <c r="WB95" s="22"/>
      <c r="WC95" s="22"/>
      <c r="WD95" s="22"/>
      <c r="WE95" s="22"/>
      <c r="WF95" s="22"/>
      <c r="WG95" s="22"/>
      <c r="WH95" s="22"/>
      <c r="WI95" s="22"/>
      <c r="WJ95" s="22"/>
      <c r="WK95" s="22"/>
      <c r="WL95" s="22"/>
      <c r="WM95" s="22"/>
      <c r="WN95" s="22"/>
      <c r="WO95" s="22"/>
      <c r="WP95" s="22"/>
      <c r="WQ95" s="22"/>
      <c r="WR95" s="22"/>
      <c r="WS95" s="22"/>
      <c r="WT95" s="22"/>
      <c r="WU95" s="22"/>
      <c r="WV95" s="22"/>
      <c r="WW95" s="22"/>
      <c r="WX95" s="22"/>
      <c r="WY95" s="22"/>
      <c r="WZ95" s="22"/>
      <c r="XA95" s="22"/>
      <c r="XB95" s="22"/>
      <c r="XC95" s="22"/>
      <c r="XD95" s="22"/>
      <c r="XE95" s="22"/>
      <c r="XF95" s="22"/>
      <c r="XG95" s="22"/>
      <c r="XH95" s="22"/>
      <c r="XI95" s="22"/>
      <c r="XJ95" s="22"/>
      <c r="XK95" s="22"/>
      <c r="XL95" s="22"/>
      <c r="XM95" s="22"/>
      <c r="XN95" s="22"/>
      <c r="XO95" s="22"/>
      <c r="XP95" s="22"/>
      <c r="XQ95" s="22"/>
      <c r="XR95" s="22"/>
      <c r="XS95" s="22"/>
      <c r="XT95" s="22"/>
      <c r="XU95" s="22"/>
      <c r="XV95" s="22"/>
      <c r="XW95" s="22"/>
      <c r="XX95" s="22"/>
      <c r="XY95" s="22"/>
      <c r="XZ95" s="22"/>
      <c r="YA95" s="22"/>
      <c r="YB95" s="22"/>
      <c r="YC95" s="22"/>
      <c r="YD95" s="22"/>
      <c r="YE95" s="22"/>
      <c r="YF95" s="22"/>
      <c r="YG95" s="22"/>
      <c r="YH95" s="22"/>
      <c r="YI95" s="22"/>
      <c r="YJ95" s="22"/>
      <c r="YK95" s="22"/>
      <c r="YL95" s="22"/>
      <c r="YM95" s="22"/>
      <c r="YN95" s="22"/>
      <c r="YO95" s="22"/>
      <c r="YP95" s="22"/>
      <c r="YQ95" s="22"/>
      <c r="YR95" s="22"/>
      <c r="YS95" s="22"/>
      <c r="YT95" s="22"/>
      <c r="YU95" s="22"/>
      <c r="YV95" s="22"/>
      <c r="YW95" s="22"/>
      <c r="YX95" s="22"/>
      <c r="YY95" s="22"/>
      <c r="YZ95" s="22"/>
      <c r="ZA95" s="22"/>
      <c r="ZB95" s="22"/>
      <c r="ZC95" s="22"/>
      <c r="ZD95" s="22"/>
      <c r="ZE95" s="22"/>
      <c r="ZF95" s="22"/>
      <c r="ZG95" s="22"/>
      <c r="ZH95" s="22"/>
      <c r="ZI95" s="22"/>
      <c r="ZJ95" s="22"/>
      <c r="ZK95" s="22"/>
      <c r="ZL95" s="22"/>
      <c r="ZM95" s="22"/>
      <c r="ZN95" s="22"/>
      <c r="ZO95" s="22"/>
      <c r="ZP95" s="22"/>
      <c r="ZQ95" s="22"/>
      <c r="ZR95" s="22"/>
      <c r="ZS95" s="22"/>
      <c r="ZT95" s="22"/>
      <c r="ZU95" s="22"/>
      <c r="ZV95" s="22"/>
      <c r="ZW95" s="22"/>
      <c r="ZX95" s="22"/>
      <c r="ZY95" s="22"/>
      <c r="ZZ95" s="22"/>
      <c r="AAA95" s="22"/>
      <c r="AAB95" s="22"/>
      <c r="AAC95" s="22"/>
      <c r="AAD95" s="22"/>
      <c r="AAE95" s="22"/>
      <c r="AAF95" s="22"/>
      <c r="AAG95" s="22"/>
      <c r="AAH95" s="22"/>
      <c r="AAI95" s="22"/>
      <c r="AAJ95" s="22"/>
      <c r="AAK95" s="22"/>
      <c r="AAL95" s="22"/>
      <c r="AAM95" s="22"/>
      <c r="AAN95" s="22"/>
      <c r="AAO95" s="22"/>
      <c r="AAP95" s="22"/>
      <c r="AAQ95" s="22"/>
      <c r="AAR95" s="22"/>
      <c r="AAS95" s="22"/>
      <c r="AAT95" s="22"/>
      <c r="AAU95" s="22"/>
      <c r="AAV95" s="22"/>
      <c r="AAW95" s="22"/>
      <c r="AAX95" s="22"/>
      <c r="AAY95" s="22"/>
      <c r="AAZ95" s="22"/>
      <c r="ABA95" s="22"/>
      <c r="ABB95" s="22"/>
      <c r="ABC95" s="22"/>
      <c r="ABD95" s="22"/>
      <c r="ABE95" s="22"/>
      <c r="ABF95" s="22"/>
      <c r="ABG95" s="22"/>
      <c r="ABH95" s="22"/>
      <c r="ABI95" s="22"/>
      <c r="ABJ95" s="22"/>
      <c r="ABK95" s="22"/>
      <c r="ABL95" s="22"/>
      <c r="ABM95" s="22"/>
      <c r="ABN95" s="22"/>
      <c r="ABO95" s="22"/>
      <c r="ABP95" s="22"/>
      <c r="ABQ95" s="22"/>
      <c r="ABR95" s="22"/>
      <c r="ABS95" s="22"/>
      <c r="ABT95" s="22"/>
      <c r="ABU95" s="22"/>
      <c r="ABV95" s="22"/>
      <c r="ABW95" s="22"/>
      <c r="ABX95" s="22"/>
      <c r="ABY95" s="22"/>
      <c r="ABZ95" s="22"/>
      <c r="ACA95" s="22"/>
      <c r="ACB95" s="22"/>
      <c r="ACC95" s="22"/>
      <c r="ACD95" s="22"/>
      <c r="ACE95" s="22"/>
      <c r="ACF95" s="22"/>
      <c r="ACG95" s="22"/>
      <c r="ACH95" s="22"/>
      <c r="ACI95" s="22"/>
      <c r="ACJ95" s="22"/>
      <c r="ACK95" s="22"/>
      <c r="ACL95" s="22"/>
      <c r="ACM95" s="22"/>
      <c r="ACN95" s="22"/>
      <c r="ACO95" s="22"/>
      <c r="ACP95" s="22"/>
      <c r="ACQ95" s="22"/>
      <c r="ACR95" s="22"/>
      <c r="ACS95" s="22"/>
      <c r="ACT95" s="22"/>
      <c r="ACU95" s="22"/>
      <c r="ACV95" s="22"/>
      <c r="ACW95" s="22"/>
      <c r="ACX95" s="22"/>
      <c r="ACY95" s="22"/>
      <c r="ACZ95" s="22"/>
      <c r="ADA95" s="22"/>
      <c r="ADB95" s="22"/>
      <c r="ADC95" s="22"/>
      <c r="ADD95" s="22"/>
      <c r="ADE95" s="22"/>
      <c r="ADF95" s="22"/>
      <c r="ADG95" s="22"/>
      <c r="ADH95" s="22"/>
      <c r="ADI95" s="22"/>
      <c r="ADJ95" s="22"/>
      <c r="ADK95" s="22"/>
      <c r="ADL95" s="22"/>
      <c r="ADM95" s="22"/>
      <c r="ADN95" s="22"/>
      <c r="ADO95" s="22"/>
      <c r="ADP95" s="22"/>
      <c r="ADQ95" s="22"/>
      <c r="ADR95" s="22"/>
      <c r="ADS95" s="22"/>
      <c r="ADT95" s="22"/>
      <c r="ADU95" s="22"/>
      <c r="ADV95" s="22"/>
      <c r="ADW95" s="22"/>
      <c r="ADX95" s="22"/>
      <c r="ADY95" s="22"/>
      <c r="ADZ95" s="22"/>
      <c r="AEA95" s="22"/>
      <c r="AEB95" s="22"/>
      <c r="AEC95" s="22"/>
      <c r="AED95" s="22"/>
      <c r="AEE95" s="22"/>
      <c r="AEF95" s="22"/>
      <c r="AEG95" s="22"/>
      <c r="AEH95" s="22"/>
      <c r="AEI95" s="22"/>
      <c r="AEJ95" s="22"/>
      <c r="AEK95" s="22"/>
      <c r="AEL95" s="22"/>
      <c r="AEM95" s="22"/>
      <c r="AEN95" s="22"/>
      <c r="AEO95" s="22"/>
      <c r="AEP95" s="22"/>
      <c r="AEQ95" s="22"/>
      <c r="AER95" s="22"/>
      <c r="AES95" s="22"/>
      <c r="AET95" s="22"/>
      <c r="AEU95" s="22"/>
      <c r="AEV95" s="22"/>
      <c r="AEW95" s="22"/>
      <c r="AEX95" s="22"/>
      <c r="AEY95" s="22"/>
      <c r="AEZ95" s="22"/>
      <c r="AFA95" s="22"/>
      <c r="AFB95" s="22"/>
      <c r="AFC95" s="22"/>
      <c r="AFD95" s="22"/>
      <c r="AFE95" s="22"/>
      <c r="AFF95" s="22"/>
      <c r="AFG95" s="22"/>
      <c r="AFH95" s="22"/>
      <c r="AFI95" s="22"/>
      <c r="AFJ95" s="22"/>
      <c r="AFK95" s="22"/>
      <c r="AFL95" s="22"/>
      <c r="AFM95" s="22"/>
      <c r="AFN95" s="22"/>
      <c r="AFO95" s="22"/>
      <c r="AFP95" s="22"/>
      <c r="AFQ95" s="22"/>
      <c r="AFR95" s="22"/>
      <c r="AFS95" s="22"/>
      <c r="AFT95" s="22"/>
      <c r="AFU95" s="22"/>
      <c r="AFV95" s="22"/>
      <c r="AFW95" s="22"/>
      <c r="AFX95" s="22"/>
      <c r="AFY95" s="22"/>
      <c r="AFZ95" s="22"/>
      <c r="AGA95" s="22"/>
      <c r="AGB95" s="22"/>
      <c r="AGC95" s="22"/>
      <c r="AGD95" s="22"/>
      <c r="AGE95" s="22"/>
      <c r="AGF95" s="22"/>
      <c r="AGG95" s="22"/>
      <c r="AGH95" s="22"/>
      <c r="AGI95" s="22"/>
      <c r="AGJ95" s="22"/>
      <c r="AGK95" s="22"/>
      <c r="AGL95" s="22"/>
      <c r="AGM95" s="22"/>
      <c r="AGN95" s="22"/>
      <c r="AGO95" s="22"/>
      <c r="AGP95" s="22"/>
      <c r="AGQ95" s="22"/>
      <c r="AGR95" s="22"/>
      <c r="AGS95" s="22"/>
      <c r="AGT95" s="22"/>
      <c r="AGU95" s="22"/>
      <c r="AGV95" s="22"/>
      <c r="AGW95" s="22"/>
      <c r="AGX95" s="22"/>
      <c r="AGY95" s="22"/>
      <c r="AGZ95" s="22"/>
      <c r="AHA95" s="22"/>
      <c r="AHB95" s="22"/>
      <c r="AHC95" s="22"/>
      <c r="AHD95" s="22"/>
      <c r="AHE95" s="22"/>
      <c r="AHF95" s="22"/>
      <c r="AHG95" s="22"/>
      <c r="AHH95" s="22"/>
      <c r="AHI95" s="22"/>
      <c r="AHJ95" s="22"/>
      <c r="AHK95" s="22"/>
      <c r="AHL95" s="22"/>
      <c r="AHM95" s="22"/>
      <c r="AHN95" s="22"/>
      <c r="AHO95" s="22"/>
      <c r="AHP95" s="22"/>
      <c r="AHQ95" s="22"/>
      <c r="AHR95" s="22"/>
      <c r="AHS95" s="22"/>
      <c r="AHT95" s="22"/>
      <c r="AHU95" s="22"/>
      <c r="AHV95" s="22"/>
      <c r="AHW95" s="22"/>
      <c r="AHX95" s="22"/>
      <c r="AHY95" s="22"/>
      <c r="AHZ95" s="22"/>
      <c r="AIA95" s="22"/>
      <c r="AIB95" s="22"/>
      <c r="AIC95" s="22"/>
      <c r="AID95" s="22"/>
      <c r="AIE95" s="22"/>
      <c r="AIF95" s="22"/>
      <c r="AIG95" s="22"/>
      <c r="AIH95" s="22"/>
      <c r="AII95" s="22"/>
      <c r="AIJ95" s="22"/>
      <c r="AIK95" s="22"/>
      <c r="AIL95" s="22"/>
      <c r="AIM95" s="22"/>
      <c r="AIN95" s="22"/>
      <c r="AIO95" s="22"/>
      <c r="AIP95" s="22"/>
      <c r="AIQ95" s="22"/>
      <c r="AIR95" s="22"/>
      <c r="AIS95" s="22"/>
      <c r="AIT95" s="22"/>
      <c r="AIU95" s="22"/>
      <c r="AIV95" s="22"/>
      <c r="AIW95" s="22"/>
      <c r="AIX95" s="22"/>
      <c r="AIY95" s="22"/>
      <c r="AIZ95" s="22"/>
      <c r="AJA95" s="22"/>
      <c r="AJB95" s="22"/>
      <c r="AJC95" s="22"/>
      <c r="AJD95" s="22"/>
      <c r="AJE95" s="22"/>
      <c r="AJF95" s="22"/>
      <c r="AJG95" s="22"/>
      <c r="AJH95" s="22"/>
      <c r="AJI95" s="22"/>
      <c r="AJJ95" s="22"/>
      <c r="AJK95" s="22"/>
      <c r="AJL95" s="22"/>
      <c r="AJM95" s="22"/>
      <c r="AJN95" s="22"/>
      <c r="AJO95" s="22"/>
      <c r="AJP95" s="22"/>
      <c r="AJQ95" s="22"/>
      <c r="AJR95" s="22"/>
      <c r="AJS95" s="22"/>
      <c r="AJT95" s="22"/>
      <c r="AJU95" s="22"/>
      <c r="AJV95" s="22"/>
      <c r="AJW95" s="22"/>
      <c r="AJX95" s="22"/>
      <c r="AJY95" s="22"/>
      <c r="AJZ95" s="22"/>
      <c r="AKA95" s="22"/>
      <c r="AKB95" s="22"/>
      <c r="AKC95" s="22"/>
      <c r="AKD95" s="22"/>
      <c r="AKE95" s="22"/>
      <c r="AKF95" s="22"/>
      <c r="AKG95" s="22"/>
      <c r="AKH95" s="22"/>
      <c r="AKI95" s="22"/>
      <c r="AKJ95" s="22"/>
      <c r="AKK95" s="22"/>
      <c r="AKL95" s="22"/>
      <c r="AKM95" s="22"/>
      <c r="AKN95" s="22"/>
      <c r="AKO95" s="22"/>
      <c r="AKP95" s="22"/>
      <c r="AKQ95" s="22"/>
      <c r="AKR95" s="22"/>
      <c r="AKS95" s="22"/>
      <c r="AKT95" s="22"/>
      <c r="AKU95" s="22"/>
      <c r="AKV95" s="22"/>
      <c r="AKW95" s="22"/>
      <c r="AKX95" s="22"/>
      <c r="AKY95" s="22"/>
      <c r="AKZ95" s="22"/>
      <c r="ALA95" s="22"/>
      <c r="ALB95" s="22"/>
      <c r="ALC95" s="22"/>
      <c r="ALD95" s="22"/>
      <c r="ALE95" s="22"/>
      <c r="ALF95" s="22"/>
      <c r="ALG95" s="22"/>
      <c r="ALH95" s="22"/>
      <c r="ALI95" s="22"/>
      <c r="ALJ95" s="22"/>
      <c r="ALK95" s="22"/>
      <c r="ALL95" s="22"/>
      <c r="ALM95" s="22"/>
      <c r="ALN95" s="22"/>
      <c r="ALO95" s="22"/>
      <c r="ALP95" s="22"/>
      <c r="ALQ95" s="22"/>
      <c r="ALR95" s="22"/>
      <c r="ALS95" s="22"/>
      <c r="ALT95" s="22"/>
      <c r="ALU95" s="22"/>
      <c r="ALV95" s="22"/>
      <c r="ALW95" s="22"/>
      <c r="ALX95" s="22"/>
      <c r="ALY95" s="22"/>
      <c r="ALZ95" s="22"/>
      <c r="AMA95" s="22"/>
      <c r="AMB95" s="22"/>
      <c r="AMC95" s="22"/>
      <c r="AMD95" s="22"/>
      <c r="AME95" s="22"/>
      <c r="AMF95" s="22"/>
      <c r="AMG95" s="22"/>
      <c r="AMH95" s="22"/>
      <c r="AMI95" s="22"/>
      <c r="AMJ95" s="22"/>
      <c r="AMK95" s="22"/>
      <c r="AML95" s="22"/>
      <c r="AMM95" s="22"/>
      <c r="AMN95" s="22"/>
      <c r="AMO95" s="22"/>
      <c r="AMP95" s="22"/>
      <c r="AMQ95" s="22"/>
      <c r="AMR95" s="22"/>
      <c r="AMS95" s="22"/>
      <c r="AMT95" s="22"/>
      <c r="AMU95" s="22"/>
      <c r="AMV95" s="22"/>
      <c r="AMW95" s="22"/>
      <c r="AMX95" s="22"/>
      <c r="AMY95" s="22"/>
      <c r="AMZ95" s="22"/>
      <c r="ANA95" s="22"/>
      <c r="ANB95" s="22"/>
      <c r="ANC95" s="22"/>
      <c r="AND95" s="22"/>
      <c r="ANE95" s="22"/>
      <c r="ANF95" s="22"/>
      <c r="ANG95" s="22"/>
      <c r="ANH95" s="22"/>
      <c r="ANI95" s="22"/>
      <c r="ANJ95" s="22"/>
      <c r="ANK95" s="22"/>
      <c r="ANL95" s="22"/>
      <c r="ANM95" s="22"/>
      <c r="ANN95" s="22"/>
      <c r="ANO95" s="22"/>
      <c r="ANP95" s="22"/>
      <c r="ANQ95" s="22"/>
      <c r="ANR95" s="22"/>
      <c r="ANS95" s="22"/>
      <c r="ANT95" s="22"/>
      <c r="ANU95" s="22"/>
      <c r="ANV95" s="22"/>
      <c r="ANW95" s="22"/>
      <c r="ANX95" s="22"/>
      <c r="ANY95" s="22"/>
      <c r="ANZ95" s="22"/>
      <c r="AOA95" s="22"/>
      <c r="AOB95" s="22"/>
      <c r="AOC95" s="22"/>
      <c r="AOD95" s="22"/>
      <c r="AOE95" s="22"/>
      <c r="AOF95" s="22"/>
      <c r="AOG95" s="22"/>
      <c r="AOH95" s="22"/>
      <c r="AOI95" s="22"/>
      <c r="AOJ95" s="22"/>
      <c r="AOK95" s="22"/>
      <c r="AOL95" s="22"/>
      <c r="AOM95" s="22"/>
      <c r="AON95" s="22"/>
      <c r="AOO95" s="22"/>
      <c r="AOP95" s="22"/>
      <c r="AOQ95" s="22"/>
      <c r="AOR95" s="22"/>
      <c r="AOS95" s="22"/>
      <c r="AOT95" s="22"/>
      <c r="AOU95" s="22"/>
      <c r="AOV95" s="22"/>
      <c r="AOW95" s="22"/>
      <c r="AOX95" s="22"/>
      <c r="AOY95" s="22"/>
      <c r="AOZ95" s="22"/>
      <c r="APA95" s="22"/>
      <c r="APB95" s="22"/>
      <c r="APC95" s="22"/>
      <c r="APD95" s="22"/>
      <c r="APE95" s="22"/>
      <c r="APF95" s="22"/>
      <c r="APG95" s="22"/>
      <c r="APH95" s="22"/>
      <c r="API95" s="22"/>
      <c r="APJ95" s="22"/>
      <c r="APK95" s="22"/>
      <c r="APL95" s="22"/>
      <c r="APM95" s="22"/>
      <c r="APN95" s="22"/>
      <c r="APO95" s="22"/>
      <c r="APP95" s="22"/>
      <c r="APQ95" s="22"/>
      <c r="APR95" s="22"/>
      <c r="APS95" s="22"/>
      <c r="APT95" s="22"/>
      <c r="APU95" s="22"/>
      <c r="APV95" s="22"/>
      <c r="APW95" s="22"/>
      <c r="APX95" s="22"/>
      <c r="APY95" s="22"/>
      <c r="APZ95" s="22"/>
      <c r="AQA95" s="22"/>
      <c r="AQB95" s="22"/>
      <c r="AQC95" s="22"/>
      <c r="AQD95" s="22"/>
      <c r="AQE95" s="22"/>
      <c r="AQF95" s="22"/>
      <c r="AQG95" s="22"/>
      <c r="AQH95" s="22"/>
      <c r="AQI95" s="22"/>
      <c r="AQJ95" s="22"/>
      <c r="AQK95" s="22"/>
      <c r="AQL95" s="22"/>
      <c r="AQM95" s="22"/>
      <c r="AQN95" s="22"/>
      <c r="AQO95" s="22"/>
      <c r="AQP95" s="22"/>
      <c r="AQQ95" s="22"/>
      <c r="AQR95" s="22"/>
      <c r="AQS95" s="22"/>
      <c r="AQT95" s="22"/>
      <c r="AQU95" s="22"/>
      <c r="AQV95" s="22"/>
      <c r="AQW95" s="22"/>
      <c r="AQX95" s="22"/>
      <c r="AQY95" s="22"/>
      <c r="AQZ95" s="22"/>
      <c r="ARA95" s="22"/>
      <c r="ARB95" s="22"/>
      <c r="ARC95" s="22"/>
      <c r="ARD95" s="22"/>
      <c r="ARE95" s="22"/>
      <c r="ARF95" s="22"/>
      <c r="ARG95" s="22"/>
      <c r="ARH95" s="22"/>
      <c r="ARI95" s="22"/>
      <c r="ARJ95" s="22"/>
      <c r="ARK95" s="22"/>
      <c r="ARL95" s="22"/>
      <c r="ARM95" s="22"/>
      <c r="ARN95" s="22"/>
      <c r="ARO95" s="22"/>
      <c r="ARP95" s="22"/>
      <c r="ARQ95" s="22"/>
      <c r="ARR95" s="22"/>
      <c r="ARS95" s="22"/>
      <c r="ART95" s="22"/>
      <c r="ARU95" s="22"/>
      <c r="ARV95" s="22"/>
      <c r="ARW95" s="22"/>
      <c r="ARX95" s="22"/>
      <c r="ARY95" s="22"/>
      <c r="ARZ95" s="22"/>
      <c r="ASA95" s="22"/>
      <c r="ASB95" s="22"/>
      <c r="ASC95" s="22"/>
      <c r="ASD95" s="22"/>
      <c r="ASE95" s="22"/>
      <c r="ASF95" s="22"/>
      <c r="ASG95" s="22"/>
      <c r="ASH95" s="22"/>
      <c r="ASI95" s="22"/>
      <c r="ASJ95" s="22"/>
      <c r="ASK95" s="22"/>
      <c r="ASL95" s="22"/>
      <c r="ASM95" s="22"/>
      <c r="ASN95" s="22"/>
      <c r="ASO95" s="22"/>
      <c r="ASP95" s="22"/>
      <c r="ASQ95" s="22"/>
      <c r="ASR95" s="22"/>
      <c r="ASS95" s="22"/>
      <c r="AST95" s="22"/>
      <c r="ASU95" s="22"/>
      <c r="ASV95" s="22"/>
      <c r="ASW95" s="22"/>
      <c r="ASX95" s="22"/>
      <c r="ASY95" s="22"/>
      <c r="ASZ95" s="22"/>
      <c r="ATA95" s="22"/>
      <c r="ATB95" s="22"/>
      <c r="ATC95" s="22"/>
      <c r="ATD95" s="22"/>
      <c r="ATE95" s="22"/>
      <c r="ATF95" s="22"/>
      <c r="ATG95" s="22"/>
      <c r="ATH95" s="22"/>
      <c r="ATI95" s="22"/>
      <c r="ATJ95" s="22"/>
      <c r="ATK95" s="22"/>
      <c r="ATL95" s="22"/>
      <c r="ATM95" s="22"/>
      <c r="ATN95" s="22"/>
      <c r="ATO95" s="22"/>
      <c r="ATP95" s="22"/>
      <c r="ATQ95" s="22"/>
      <c r="ATR95" s="22"/>
      <c r="ATS95" s="22"/>
      <c r="ATT95" s="22"/>
      <c r="ATU95" s="22"/>
      <c r="ATV95" s="22"/>
      <c r="ATW95" s="22"/>
      <c r="ATX95" s="22"/>
      <c r="ATY95" s="22"/>
      <c r="ATZ95" s="22"/>
      <c r="AUA95" s="22"/>
      <c r="AUB95" s="22"/>
      <c r="AUC95" s="22"/>
      <c r="AUD95" s="22"/>
      <c r="AUE95" s="22"/>
      <c r="AUF95" s="22"/>
      <c r="AUG95" s="22"/>
      <c r="AUH95" s="22"/>
      <c r="AUI95" s="22"/>
      <c r="AUJ95" s="22"/>
      <c r="AUK95" s="22"/>
      <c r="AUL95" s="22"/>
      <c r="AUM95" s="22"/>
      <c r="AUN95" s="22"/>
      <c r="AUO95" s="22"/>
      <c r="AUP95" s="22"/>
      <c r="AUQ95" s="22"/>
      <c r="AUR95" s="22"/>
      <c r="AUS95" s="22"/>
      <c r="AUT95" s="22"/>
      <c r="AUU95" s="22"/>
      <c r="AUV95" s="22"/>
      <c r="AUW95" s="22"/>
      <c r="AUX95" s="22"/>
      <c r="AUY95" s="22"/>
      <c r="AUZ95" s="22"/>
      <c r="AVA95" s="22"/>
      <c r="AVB95" s="22"/>
      <c r="AVC95" s="22"/>
      <c r="AVD95" s="22"/>
      <c r="AVE95" s="22"/>
      <c r="AVF95" s="22"/>
      <c r="AVG95" s="22"/>
      <c r="AVH95" s="22"/>
      <c r="AVI95" s="22"/>
      <c r="AVJ95" s="22"/>
      <c r="AVK95" s="22"/>
      <c r="AVL95" s="22"/>
      <c r="AVM95" s="22"/>
      <c r="AVN95" s="22"/>
      <c r="AVO95" s="22"/>
      <c r="AVP95" s="22"/>
      <c r="AVQ95" s="22"/>
      <c r="AVR95" s="22"/>
      <c r="AVS95" s="22"/>
      <c r="AVT95" s="22"/>
      <c r="AVU95" s="22"/>
      <c r="AVV95" s="22"/>
      <c r="AVW95" s="22"/>
      <c r="AVX95" s="22"/>
      <c r="AVY95" s="22"/>
      <c r="AVZ95" s="22"/>
      <c r="AWA95" s="22"/>
      <c r="AWB95" s="22"/>
      <c r="AWC95" s="22"/>
      <c r="AWD95" s="22"/>
      <c r="AWE95" s="22"/>
      <c r="AWF95" s="22"/>
      <c r="AWG95" s="22"/>
      <c r="AWH95" s="22"/>
      <c r="AWI95" s="22"/>
      <c r="AWJ95" s="22"/>
      <c r="AWK95" s="22"/>
      <c r="AWL95" s="22"/>
      <c r="AWM95" s="22"/>
      <c r="AWN95" s="22"/>
      <c r="AWO95" s="22"/>
      <c r="AWP95" s="22"/>
      <c r="AWQ95" s="22"/>
      <c r="AWR95" s="22"/>
      <c r="AWS95" s="22"/>
      <c r="AWT95" s="22"/>
      <c r="AWU95" s="22"/>
      <c r="AWV95" s="22"/>
      <c r="AWW95" s="22"/>
      <c r="AWX95" s="22"/>
      <c r="AWY95" s="22"/>
      <c r="AWZ95" s="22"/>
      <c r="AXA95" s="22"/>
      <c r="AXB95" s="22"/>
      <c r="AXC95" s="22"/>
      <c r="AXD95" s="22"/>
      <c r="AXE95" s="22"/>
      <c r="AXF95" s="22"/>
      <c r="AXG95" s="22"/>
      <c r="AXH95" s="22"/>
      <c r="AXI95" s="22"/>
      <c r="AXJ95" s="22"/>
      <c r="AXK95" s="22"/>
      <c r="AXL95" s="22"/>
      <c r="AXM95" s="22"/>
      <c r="AXN95" s="22"/>
      <c r="AXO95" s="22"/>
      <c r="AXP95" s="22"/>
      <c r="AXQ95" s="22"/>
      <c r="AXR95" s="22"/>
      <c r="AXS95" s="22"/>
      <c r="AXT95" s="22"/>
      <c r="AXU95" s="22"/>
      <c r="AXV95" s="22"/>
      <c r="AXW95" s="22"/>
      <c r="AXX95" s="22"/>
      <c r="AXY95" s="22"/>
      <c r="AXZ95" s="22"/>
      <c r="AYA95" s="22"/>
      <c r="AYB95" s="22"/>
      <c r="AYC95" s="22"/>
      <c r="AYD95" s="22"/>
      <c r="AYE95" s="22"/>
      <c r="AYF95" s="22"/>
      <c r="AYG95" s="22"/>
      <c r="AYH95" s="22"/>
      <c r="AYI95" s="22"/>
      <c r="AYJ95" s="22"/>
      <c r="AYK95" s="22"/>
      <c r="AYL95" s="22"/>
      <c r="AYM95" s="22"/>
      <c r="AYN95" s="22"/>
      <c r="AYO95" s="22"/>
      <c r="AYP95" s="22"/>
      <c r="AYQ95" s="22"/>
      <c r="AYR95" s="22"/>
      <c r="AYS95" s="22"/>
      <c r="AYT95" s="22"/>
      <c r="AYU95" s="22"/>
      <c r="AYV95" s="22"/>
      <c r="AYW95" s="22"/>
      <c r="AYX95" s="22"/>
      <c r="AYY95" s="22"/>
      <c r="AYZ95" s="22"/>
      <c r="AZA95" s="22"/>
      <c r="AZB95" s="22"/>
      <c r="AZC95" s="22"/>
      <c r="AZD95" s="22"/>
      <c r="AZE95" s="22"/>
      <c r="AZF95" s="22"/>
      <c r="AZG95" s="22"/>
      <c r="AZH95" s="22"/>
      <c r="AZI95" s="22"/>
      <c r="AZJ95" s="22"/>
      <c r="AZK95" s="22"/>
      <c r="AZL95" s="22"/>
      <c r="AZM95" s="22"/>
      <c r="AZN95" s="22"/>
      <c r="AZO95" s="22"/>
      <c r="AZP95" s="22"/>
      <c r="AZQ95" s="22"/>
      <c r="AZR95" s="22"/>
      <c r="AZS95" s="22"/>
      <c r="AZT95" s="22"/>
      <c r="AZU95" s="22"/>
      <c r="AZV95" s="22"/>
      <c r="AZW95" s="22"/>
      <c r="AZX95" s="22"/>
      <c r="AZY95" s="22"/>
      <c r="AZZ95" s="22"/>
      <c r="BAA95" s="22"/>
      <c r="BAB95" s="22"/>
      <c r="BAC95" s="22"/>
      <c r="BAD95" s="22"/>
      <c r="BAE95" s="22"/>
      <c r="BAF95" s="22"/>
      <c r="BAG95" s="22"/>
      <c r="BAH95" s="22"/>
      <c r="BAI95" s="22"/>
      <c r="BAJ95" s="22"/>
      <c r="BAK95" s="22"/>
      <c r="BAL95" s="22"/>
      <c r="BAM95" s="22"/>
      <c r="BAN95" s="22"/>
      <c r="BAO95" s="22"/>
      <c r="BAP95" s="22"/>
      <c r="BAQ95" s="22"/>
      <c r="BAR95" s="22"/>
      <c r="BAS95" s="22"/>
      <c r="BAT95" s="22"/>
      <c r="BAU95" s="22"/>
      <c r="BAV95" s="22"/>
      <c r="BAW95" s="22"/>
      <c r="BAX95" s="22"/>
      <c r="BAY95" s="22"/>
      <c r="BAZ95" s="22"/>
      <c r="BBA95" s="22"/>
      <c r="BBB95" s="22"/>
      <c r="BBC95" s="22"/>
      <c r="BBD95" s="22"/>
      <c r="BBE95" s="22"/>
      <c r="BBF95" s="22"/>
      <c r="BBG95" s="22"/>
      <c r="BBH95" s="22"/>
      <c r="BBI95" s="22"/>
      <c r="BBJ95" s="22"/>
      <c r="BBK95" s="22"/>
      <c r="BBL95" s="22"/>
      <c r="BBM95" s="22"/>
      <c r="BBN95" s="22"/>
      <c r="BBO95" s="22"/>
      <c r="BBP95" s="22"/>
      <c r="BBQ95" s="22"/>
      <c r="BBR95" s="22"/>
      <c r="BBS95" s="22"/>
      <c r="BBT95" s="22"/>
      <c r="BBU95" s="22"/>
      <c r="BBV95" s="22"/>
      <c r="BBW95" s="22"/>
      <c r="BBX95" s="22"/>
      <c r="BBY95" s="22"/>
      <c r="BBZ95" s="22"/>
      <c r="BCA95" s="22"/>
      <c r="BCB95" s="22"/>
      <c r="BCC95" s="22"/>
      <c r="BCD95" s="22"/>
      <c r="BCE95" s="22"/>
      <c r="BCF95" s="22"/>
      <c r="BCG95" s="22"/>
      <c r="BCH95" s="22"/>
      <c r="BCI95" s="22"/>
      <c r="BCJ95" s="22"/>
      <c r="BCK95" s="22"/>
      <c r="BCL95" s="22"/>
      <c r="BCM95" s="22"/>
      <c r="BCN95" s="22"/>
      <c r="BCO95" s="22"/>
      <c r="BCP95" s="22"/>
      <c r="BCQ95" s="22"/>
      <c r="BCR95" s="22"/>
      <c r="BCS95" s="22"/>
      <c r="BCT95" s="22"/>
      <c r="BCU95" s="22"/>
      <c r="BCV95" s="22"/>
      <c r="BCW95" s="22"/>
      <c r="BCX95" s="22"/>
      <c r="BCY95" s="22"/>
      <c r="BCZ95" s="22"/>
      <c r="BDA95" s="22"/>
      <c r="BDB95" s="22"/>
      <c r="BDC95" s="22"/>
      <c r="BDD95" s="22"/>
      <c r="BDE95" s="22"/>
      <c r="BDF95" s="22"/>
      <c r="BDG95" s="22"/>
      <c r="BDH95" s="22"/>
      <c r="BDI95" s="22"/>
      <c r="BDJ95" s="22"/>
      <c r="BDK95" s="22"/>
      <c r="BDL95" s="22"/>
      <c r="BDM95" s="22"/>
      <c r="BDN95" s="22"/>
      <c r="BDO95" s="22"/>
      <c r="BDP95" s="22"/>
      <c r="BDQ95" s="22"/>
      <c r="BDR95" s="22"/>
      <c r="BDS95" s="22"/>
      <c r="BDT95" s="22"/>
      <c r="BDU95" s="22"/>
      <c r="BDV95" s="22"/>
      <c r="BDW95" s="22"/>
      <c r="BDX95" s="22"/>
      <c r="BDY95" s="22"/>
      <c r="BDZ95" s="22"/>
      <c r="BEA95" s="22"/>
      <c r="BEB95" s="22"/>
      <c r="BEC95" s="22"/>
      <c r="BED95" s="22"/>
      <c r="BEE95" s="22"/>
      <c r="BEF95" s="22"/>
      <c r="BEG95" s="22"/>
      <c r="BEH95" s="22"/>
      <c r="BEI95" s="22"/>
      <c r="BEJ95" s="22"/>
      <c r="BEK95" s="22"/>
      <c r="BEL95" s="22"/>
      <c r="BEM95" s="22"/>
      <c r="BEN95" s="22"/>
      <c r="BEO95" s="22"/>
      <c r="BEP95" s="22"/>
      <c r="BEQ95" s="22"/>
      <c r="BER95" s="22"/>
      <c r="BES95" s="22"/>
      <c r="BET95" s="22"/>
      <c r="BEU95" s="22"/>
      <c r="BEV95" s="22"/>
      <c r="BEW95" s="22"/>
      <c r="BEX95" s="22"/>
      <c r="BEY95" s="22"/>
      <c r="BEZ95" s="22"/>
      <c r="BFA95" s="22"/>
      <c r="BFB95" s="22"/>
      <c r="BFC95" s="22"/>
      <c r="BFD95" s="22"/>
      <c r="BFE95" s="22"/>
      <c r="BFF95" s="22"/>
      <c r="BFG95" s="22"/>
      <c r="BFH95" s="22"/>
      <c r="BFI95" s="22"/>
      <c r="BFJ95" s="22"/>
      <c r="BFK95" s="22"/>
      <c r="BFL95" s="22"/>
      <c r="BFM95" s="22"/>
      <c r="BFN95" s="22"/>
      <c r="BFO95" s="22"/>
      <c r="BFP95" s="22"/>
      <c r="BFQ95" s="22"/>
      <c r="BFR95" s="22"/>
      <c r="BFS95" s="22"/>
      <c r="BFT95" s="22"/>
      <c r="BFU95" s="22"/>
      <c r="BFV95" s="22"/>
      <c r="BFW95" s="22"/>
    </row>
    <row r="96" spans="1:1531" s="208" customFormat="1" ht="46.15" customHeight="1" x14ac:dyDescent="0.2">
      <c r="A96" s="305" t="s">
        <v>528</v>
      </c>
      <c r="B96" s="286"/>
      <c r="C96" s="122" t="s">
        <v>558</v>
      </c>
      <c r="D96" s="286"/>
      <c r="E96" s="286" t="s">
        <v>839</v>
      </c>
      <c r="F96" s="286"/>
      <c r="G96" s="286" t="s">
        <v>536</v>
      </c>
      <c r="H96" s="174"/>
      <c r="I96" s="281">
        <v>695</v>
      </c>
      <c r="J96" s="176"/>
      <c r="K96" s="122" t="s">
        <v>117</v>
      </c>
      <c r="L96" s="176"/>
      <c r="M96" s="176"/>
      <c r="N96" s="176"/>
      <c r="O96" s="176">
        <v>2016</v>
      </c>
      <c r="P96" s="162" t="s">
        <v>750</v>
      </c>
      <c r="Q96" s="176"/>
      <c r="R96" s="176"/>
      <c r="S96" s="282"/>
      <c r="T96" s="176"/>
      <c r="U96" s="176"/>
      <c r="V96" s="176"/>
      <c r="W96" s="176"/>
      <c r="X96" s="176"/>
      <c r="Y96" s="283"/>
      <c r="Z96" s="176"/>
      <c r="AA96" s="282"/>
      <c r="AB96" s="176"/>
      <c r="AC96" s="176"/>
      <c r="AD96" s="176"/>
      <c r="AE96" s="176"/>
      <c r="AF96" s="176"/>
      <c r="AG96" s="176"/>
      <c r="AH96" s="176"/>
      <c r="AI96" s="176"/>
      <c r="AJ96" s="176"/>
      <c r="AK96" s="176"/>
      <c r="AL96" s="176">
        <v>16</v>
      </c>
      <c r="AM96" s="176"/>
      <c r="AN96" s="284">
        <v>11120</v>
      </c>
      <c r="AU96" s="285"/>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22"/>
      <c r="IZ96" s="22"/>
      <c r="JA96" s="22"/>
      <c r="JB96" s="22"/>
      <c r="JC96" s="22"/>
      <c r="JD96" s="22"/>
      <c r="JE96" s="22"/>
      <c r="JF96" s="22"/>
      <c r="JG96" s="22"/>
      <c r="JH96" s="22"/>
      <c r="JI96" s="22"/>
      <c r="JJ96" s="22"/>
      <c r="JK96" s="22"/>
      <c r="JL96" s="22"/>
      <c r="JM96" s="22"/>
      <c r="JN96" s="22"/>
      <c r="JO96" s="22"/>
      <c r="JP96" s="22"/>
      <c r="JQ96" s="22"/>
      <c r="JR96" s="22"/>
      <c r="JS96" s="22"/>
      <c r="JT96" s="22"/>
      <c r="JU96" s="22"/>
      <c r="JV96" s="22"/>
      <c r="JW96" s="22"/>
      <c r="JX96" s="22"/>
      <c r="JY96" s="22"/>
      <c r="JZ96" s="22"/>
      <c r="KA96" s="22"/>
      <c r="KB96" s="22"/>
      <c r="KC96" s="22"/>
      <c r="KD96" s="22"/>
      <c r="KE96" s="22"/>
      <c r="KF96" s="22"/>
      <c r="KG96" s="22"/>
      <c r="KH96" s="22"/>
      <c r="KI96" s="22"/>
      <c r="KJ96" s="22"/>
      <c r="KK96" s="22"/>
      <c r="KL96" s="22"/>
      <c r="KM96" s="22"/>
      <c r="KN96" s="22"/>
      <c r="KO96" s="22"/>
      <c r="KP96" s="22"/>
      <c r="KQ96" s="22"/>
      <c r="KR96" s="22"/>
      <c r="KS96" s="22"/>
      <c r="KT96" s="22"/>
      <c r="KU96" s="22"/>
      <c r="KV96" s="22"/>
      <c r="KW96" s="22"/>
      <c r="KX96" s="22"/>
      <c r="KY96" s="22"/>
      <c r="KZ96" s="22"/>
      <c r="LA96" s="22"/>
      <c r="LB96" s="22"/>
      <c r="LC96" s="22"/>
      <c r="LD96" s="22"/>
      <c r="LE96" s="22"/>
      <c r="LF96" s="22"/>
      <c r="LG96" s="22"/>
      <c r="LH96" s="22"/>
      <c r="LI96" s="22"/>
      <c r="LJ96" s="22"/>
      <c r="LK96" s="22"/>
      <c r="LL96" s="22"/>
      <c r="LM96" s="22"/>
      <c r="LN96" s="22"/>
      <c r="LO96" s="22"/>
      <c r="LP96" s="22"/>
      <c r="LQ96" s="22"/>
      <c r="LR96" s="22"/>
      <c r="LS96" s="22"/>
      <c r="LT96" s="22"/>
      <c r="LU96" s="22"/>
      <c r="LV96" s="22"/>
      <c r="LW96" s="22"/>
      <c r="LX96" s="22"/>
      <c r="LY96" s="22"/>
      <c r="LZ96" s="22"/>
      <c r="MA96" s="22"/>
      <c r="MB96" s="22"/>
      <c r="MC96" s="22"/>
      <c r="MD96" s="22"/>
      <c r="ME96" s="22"/>
      <c r="MF96" s="22"/>
      <c r="MG96" s="22"/>
      <c r="MH96" s="22"/>
      <c r="MI96" s="22"/>
      <c r="MJ96" s="22"/>
      <c r="MK96" s="22"/>
      <c r="ML96" s="22"/>
      <c r="MM96" s="22"/>
      <c r="MN96" s="22"/>
      <c r="MO96" s="22"/>
      <c r="MP96" s="22"/>
      <c r="MQ96" s="22"/>
      <c r="MR96" s="22"/>
      <c r="MS96" s="22"/>
      <c r="MT96" s="22"/>
      <c r="MU96" s="22"/>
      <c r="MV96" s="22"/>
      <c r="MW96" s="22"/>
      <c r="MX96" s="22"/>
      <c r="MY96" s="22"/>
      <c r="MZ96" s="22"/>
      <c r="NA96" s="22"/>
      <c r="NB96" s="22"/>
      <c r="NC96" s="22"/>
      <c r="ND96" s="22"/>
      <c r="NE96" s="22"/>
      <c r="NF96" s="22"/>
      <c r="NG96" s="22"/>
      <c r="NH96" s="22"/>
      <c r="NI96" s="22"/>
      <c r="NJ96" s="22"/>
      <c r="NK96" s="22"/>
      <c r="NL96" s="22"/>
      <c r="NM96" s="22"/>
      <c r="NN96" s="22"/>
      <c r="NO96" s="22"/>
      <c r="NP96" s="22"/>
      <c r="NQ96" s="22"/>
      <c r="NR96" s="22"/>
      <c r="NS96" s="22"/>
      <c r="NT96" s="22"/>
      <c r="NU96" s="22"/>
      <c r="NV96" s="22"/>
      <c r="NW96" s="22"/>
      <c r="NX96" s="22"/>
      <c r="NY96" s="22"/>
      <c r="NZ96" s="22"/>
      <c r="OA96" s="22"/>
      <c r="OB96" s="22"/>
      <c r="OC96" s="22"/>
      <c r="OD96" s="22"/>
      <c r="OE96" s="22"/>
      <c r="OF96" s="22"/>
      <c r="OG96" s="22"/>
      <c r="OH96" s="22"/>
      <c r="OI96" s="22"/>
      <c r="OJ96" s="22"/>
      <c r="OK96" s="22"/>
      <c r="OL96" s="22"/>
      <c r="OM96" s="22"/>
      <c r="ON96" s="22"/>
      <c r="OO96" s="22"/>
      <c r="OP96" s="22"/>
      <c r="OQ96" s="22"/>
      <c r="OR96" s="22"/>
      <c r="OS96" s="22"/>
      <c r="OT96" s="22"/>
      <c r="OU96" s="22"/>
      <c r="OV96" s="22"/>
      <c r="OW96" s="22"/>
      <c r="OX96" s="22"/>
      <c r="OY96" s="22"/>
      <c r="OZ96" s="22"/>
      <c r="PA96" s="22"/>
      <c r="PB96" s="22"/>
      <c r="PC96" s="22"/>
      <c r="PD96" s="22"/>
      <c r="PE96" s="22"/>
      <c r="PF96" s="22"/>
      <c r="PG96" s="22"/>
      <c r="PH96" s="22"/>
      <c r="PI96" s="22"/>
      <c r="PJ96" s="22"/>
      <c r="PK96" s="22"/>
      <c r="PL96" s="22"/>
      <c r="PM96" s="22"/>
      <c r="PN96" s="22"/>
      <c r="PO96" s="22"/>
      <c r="PP96" s="22"/>
      <c r="PQ96" s="22"/>
      <c r="PR96" s="22"/>
      <c r="PS96" s="22"/>
      <c r="PT96" s="22"/>
      <c r="PU96" s="22"/>
      <c r="PV96" s="22"/>
      <c r="PW96" s="22"/>
      <c r="PX96" s="22"/>
      <c r="PY96" s="22"/>
      <c r="PZ96" s="22"/>
      <c r="QA96" s="22"/>
      <c r="QB96" s="22"/>
      <c r="QC96" s="22"/>
      <c r="QD96" s="22"/>
      <c r="QE96" s="22"/>
      <c r="QF96" s="22"/>
      <c r="QG96" s="22"/>
      <c r="QH96" s="22"/>
      <c r="QI96" s="22"/>
      <c r="QJ96" s="22"/>
      <c r="QK96" s="22"/>
      <c r="QL96" s="22"/>
      <c r="QM96" s="22"/>
      <c r="QN96" s="22"/>
      <c r="QO96" s="22"/>
      <c r="QP96" s="22"/>
      <c r="QQ96" s="22"/>
      <c r="QR96" s="22"/>
      <c r="QS96" s="22"/>
      <c r="QT96" s="22"/>
      <c r="QU96" s="22"/>
      <c r="QV96" s="22"/>
      <c r="QW96" s="22"/>
      <c r="QX96" s="22"/>
      <c r="QY96" s="22"/>
      <c r="QZ96" s="22"/>
      <c r="RA96" s="22"/>
      <c r="RB96" s="22"/>
      <c r="RC96" s="22"/>
      <c r="RD96" s="22"/>
      <c r="RE96" s="22"/>
      <c r="RF96" s="22"/>
      <c r="RG96" s="22"/>
      <c r="RH96" s="22"/>
      <c r="RI96" s="22"/>
      <c r="RJ96" s="22"/>
      <c r="RK96" s="22"/>
      <c r="RL96" s="22"/>
      <c r="RM96" s="22"/>
      <c r="RN96" s="22"/>
      <c r="RO96" s="22"/>
      <c r="RP96" s="22"/>
      <c r="RQ96" s="22"/>
      <c r="RR96" s="22"/>
      <c r="RS96" s="22"/>
      <c r="RT96" s="22"/>
      <c r="RU96" s="22"/>
      <c r="RV96" s="22"/>
      <c r="RW96" s="22"/>
      <c r="RX96" s="22"/>
      <c r="RY96" s="22"/>
      <c r="RZ96" s="22"/>
      <c r="SA96" s="22"/>
      <c r="SB96" s="22"/>
      <c r="SC96" s="22"/>
      <c r="SD96" s="22"/>
      <c r="SE96" s="22"/>
      <c r="SF96" s="22"/>
      <c r="SG96" s="22"/>
      <c r="SH96" s="22"/>
      <c r="SI96" s="22"/>
      <c r="SJ96" s="22"/>
      <c r="SK96" s="22"/>
      <c r="SL96" s="22"/>
      <c r="SM96" s="22"/>
      <c r="SN96" s="22"/>
      <c r="SO96" s="22"/>
      <c r="SP96" s="22"/>
      <c r="SQ96" s="22"/>
      <c r="SR96" s="22"/>
      <c r="SS96" s="22"/>
      <c r="ST96" s="22"/>
      <c r="SU96" s="22"/>
      <c r="SV96" s="22"/>
      <c r="SW96" s="22"/>
      <c r="SX96" s="22"/>
      <c r="SY96" s="22"/>
      <c r="SZ96" s="22"/>
      <c r="TA96" s="22"/>
      <c r="TB96" s="22"/>
      <c r="TC96" s="22"/>
      <c r="TD96" s="22"/>
      <c r="TE96" s="22"/>
      <c r="TF96" s="22"/>
      <c r="TG96" s="22"/>
      <c r="TH96" s="22"/>
      <c r="TI96" s="22"/>
      <c r="TJ96" s="22"/>
      <c r="TK96" s="22"/>
      <c r="TL96" s="22"/>
      <c r="TM96" s="22"/>
      <c r="TN96" s="22"/>
      <c r="TO96" s="22"/>
      <c r="TP96" s="22"/>
      <c r="TQ96" s="22"/>
      <c r="TR96" s="22"/>
      <c r="TS96" s="22"/>
      <c r="TT96" s="22"/>
      <c r="TU96" s="22"/>
      <c r="TV96" s="22"/>
      <c r="TW96" s="22"/>
      <c r="TX96" s="22"/>
      <c r="TY96" s="22"/>
      <c r="TZ96" s="22"/>
      <c r="UA96" s="22"/>
      <c r="UB96" s="22"/>
      <c r="UC96" s="22"/>
      <c r="UD96" s="22"/>
      <c r="UE96" s="22"/>
      <c r="UF96" s="22"/>
      <c r="UG96" s="22"/>
      <c r="UH96" s="22"/>
      <c r="UI96" s="22"/>
      <c r="UJ96" s="22"/>
      <c r="UK96" s="22"/>
      <c r="UL96" s="22"/>
      <c r="UM96" s="22"/>
      <c r="UN96" s="22"/>
      <c r="UO96" s="22"/>
      <c r="UP96" s="22"/>
      <c r="UQ96" s="22"/>
      <c r="UR96" s="22"/>
      <c r="US96" s="22"/>
      <c r="UT96" s="22"/>
      <c r="UU96" s="22"/>
      <c r="UV96" s="22"/>
      <c r="UW96" s="22"/>
      <c r="UX96" s="22"/>
      <c r="UY96" s="22"/>
      <c r="UZ96" s="22"/>
      <c r="VA96" s="22"/>
      <c r="VB96" s="22"/>
      <c r="VC96" s="22"/>
      <c r="VD96" s="22"/>
      <c r="VE96" s="22"/>
      <c r="VF96" s="22"/>
      <c r="VG96" s="22"/>
      <c r="VH96" s="22"/>
      <c r="VI96" s="22"/>
      <c r="VJ96" s="22"/>
      <c r="VK96" s="22"/>
      <c r="VL96" s="22"/>
      <c r="VM96" s="22"/>
      <c r="VN96" s="22"/>
      <c r="VO96" s="22"/>
      <c r="VP96" s="22"/>
      <c r="VQ96" s="22"/>
      <c r="VR96" s="22"/>
      <c r="VS96" s="22"/>
      <c r="VT96" s="22"/>
      <c r="VU96" s="22"/>
      <c r="VV96" s="22"/>
      <c r="VW96" s="22"/>
      <c r="VX96" s="22"/>
      <c r="VY96" s="22"/>
      <c r="VZ96" s="22"/>
      <c r="WA96" s="22"/>
      <c r="WB96" s="22"/>
      <c r="WC96" s="22"/>
      <c r="WD96" s="22"/>
      <c r="WE96" s="22"/>
      <c r="WF96" s="22"/>
      <c r="WG96" s="22"/>
      <c r="WH96" s="22"/>
      <c r="WI96" s="22"/>
      <c r="WJ96" s="22"/>
      <c r="WK96" s="22"/>
      <c r="WL96" s="22"/>
      <c r="WM96" s="22"/>
      <c r="WN96" s="22"/>
      <c r="WO96" s="22"/>
      <c r="WP96" s="22"/>
      <c r="WQ96" s="22"/>
      <c r="WR96" s="22"/>
      <c r="WS96" s="22"/>
      <c r="WT96" s="22"/>
      <c r="WU96" s="22"/>
      <c r="WV96" s="22"/>
      <c r="WW96" s="22"/>
      <c r="WX96" s="22"/>
      <c r="WY96" s="22"/>
      <c r="WZ96" s="22"/>
      <c r="XA96" s="22"/>
      <c r="XB96" s="22"/>
      <c r="XC96" s="22"/>
      <c r="XD96" s="22"/>
      <c r="XE96" s="22"/>
      <c r="XF96" s="22"/>
      <c r="XG96" s="22"/>
      <c r="XH96" s="22"/>
      <c r="XI96" s="22"/>
      <c r="XJ96" s="22"/>
      <c r="XK96" s="22"/>
      <c r="XL96" s="22"/>
      <c r="XM96" s="22"/>
      <c r="XN96" s="22"/>
      <c r="XO96" s="22"/>
      <c r="XP96" s="22"/>
      <c r="XQ96" s="22"/>
      <c r="XR96" s="22"/>
      <c r="XS96" s="22"/>
      <c r="XT96" s="22"/>
      <c r="XU96" s="22"/>
      <c r="XV96" s="22"/>
      <c r="XW96" s="22"/>
      <c r="XX96" s="22"/>
      <c r="XY96" s="22"/>
      <c r="XZ96" s="22"/>
      <c r="YA96" s="22"/>
      <c r="YB96" s="22"/>
      <c r="YC96" s="22"/>
      <c r="YD96" s="22"/>
      <c r="YE96" s="22"/>
      <c r="YF96" s="22"/>
      <c r="YG96" s="22"/>
      <c r="YH96" s="22"/>
      <c r="YI96" s="22"/>
      <c r="YJ96" s="22"/>
      <c r="YK96" s="22"/>
      <c r="YL96" s="22"/>
      <c r="YM96" s="22"/>
      <c r="YN96" s="22"/>
      <c r="YO96" s="22"/>
      <c r="YP96" s="22"/>
      <c r="YQ96" s="22"/>
      <c r="YR96" s="22"/>
      <c r="YS96" s="22"/>
      <c r="YT96" s="22"/>
      <c r="YU96" s="22"/>
      <c r="YV96" s="22"/>
      <c r="YW96" s="22"/>
      <c r="YX96" s="22"/>
      <c r="YY96" s="22"/>
      <c r="YZ96" s="22"/>
      <c r="ZA96" s="22"/>
      <c r="ZB96" s="22"/>
      <c r="ZC96" s="22"/>
      <c r="ZD96" s="22"/>
      <c r="ZE96" s="22"/>
      <c r="ZF96" s="22"/>
      <c r="ZG96" s="22"/>
      <c r="ZH96" s="22"/>
      <c r="ZI96" s="22"/>
      <c r="ZJ96" s="22"/>
      <c r="ZK96" s="22"/>
      <c r="ZL96" s="22"/>
      <c r="ZM96" s="22"/>
      <c r="ZN96" s="22"/>
      <c r="ZO96" s="22"/>
      <c r="ZP96" s="22"/>
      <c r="ZQ96" s="22"/>
      <c r="ZR96" s="22"/>
      <c r="ZS96" s="22"/>
      <c r="ZT96" s="22"/>
      <c r="ZU96" s="22"/>
      <c r="ZV96" s="22"/>
      <c r="ZW96" s="22"/>
      <c r="ZX96" s="22"/>
      <c r="ZY96" s="22"/>
      <c r="ZZ96" s="22"/>
      <c r="AAA96" s="22"/>
      <c r="AAB96" s="22"/>
      <c r="AAC96" s="22"/>
      <c r="AAD96" s="22"/>
      <c r="AAE96" s="22"/>
      <c r="AAF96" s="22"/>
      <c r="AAG96" s="22"/>
      <c r="AAH96" s="22"/>
      <c r="AAI96" s="22"/>
      <c r="AAJ96" s="22"/>
      <c r="AAK96" s="22"/>
      <c r="AAL96" s="22"/>
      <c r="AAM96" s="22"/>
      <c r="AAN96" s="22"/>
      <c r="AAO96" s="22"/>
      <c r="AAP96" s="22"/>
      <c r="AAQ96" s="22"/>
      <c r="AAR96" s="22"/>
      <c r="AAS96" s="22"/>
      <c r="AAT96" s="22"/>
      <c r="AAU96" s="22"/>
      <c r="AAV96" s="22"/>
      <c r="AAW96" s="22"/>
      <c r="AAX96" s="22"/>
      <c r="AAY96" s="22"/>
      <c r="AAZ96" s="22"/>
      <c r="ABA96" s="22"/>
      <c r="ABB96" s="22"/>
      <c r="ABC96" s="22"/>
      <c r="ABD96" s="22"/>
      <c r="ABE96" s="22"/>
      <c r="ABF96" s="22"/>
      <c r="ABG96" s="22"/>
      <c r="ABH96" s="22"/>
      <c r="ABI96" s="22"/>
      <c r="ABJ96" s="22"/>
      <c r="ABK96" s="22"/>
      <c r="ABL96" s="22"/>
      <c r="ABM96" s="22"/>
      <c r="ABN96" s="22"/>
      <c r="ABO96" s="22"/>
      <c r="ABP96" s="22"/>
      <c r="ABQ96" s="22"/>
      <c r="ABR96" s="22"/>
      <c r="ABS96" s="22"/>
      <c r="ABT96" s="22"/>
      <c r="ABU96" s="22"/>
      <c r="ABV96" s="22"/>
      <c r="ABW96" s="22"/>
      <c r="ABX96" s="22"/>
      <c r="ABY96" s="22"/>
      <c r="ABZ96" s="22"/>
      <c r="ACA96" s="22"/>
      <c r="ACB96" s="22"/>
      <c r="ACC96" s="22"/>
      <c r="ACD96" s="22"/>
      <c r="ACE96" s="22"/>
      <c r="ACF96" s="22"/>
      <c r="ACG96" s="22"/>
      <c r="ACH96" s="22"/>
      <c r="ACI96" s="22"/>
      <c r="ACJ96" s="22"/>
      <c r="ACK96" s="22"/>
      <c r="ACL96" s="22"/>
      <c r="ACM96" s="22"/>
      <c r="ACN96" s="22"/>
      <c r="ACO96" s="22"/>
      <c r="ACP96" s="22"/>
      <c r="ACQ96" s="22"/>
      <c r="ACR96" s="22"/>
      <c r="ACS96" s="22"/>
      <c r="ACT96" s="22"/>
      <c r="ACU96" s="22"/>
      <c r="ACV96" s="22"/>
      <c r="ACW96" s="22"/>
      <c r="ACX96" s="22"/>
      <c r="ACY96" s="22"/>
      <c r="ACZ96" s="22"/>
      <c r="ADA96" s="22"/>
      <c r="ADB96" s="22"/>
      <c r="ADC96" s="22"/>
      <c r="ADD96" s="22"/>
      <c r="ADE96" s="22"/>
      <c r="ADF96" s="22"/>
      <c r="ADG96" s="22"/>
      <c r="ADH96" s="22"/>
      <c r="ADI96" s="22"/>
      <c r="ADJ96" s="22"/>
      <c r="ADK96" s="22"/>
      <c r="ADL96" s="22"/>
      <c r="ADM96" s="22"/>
      <c r="ADN96" s="22"/>
      <c r="ADO96" s="22"/>
      <c r="ADP96" s="22"/>
      <c r="ADQ96" s="22"/>
      <c r="ADR96" s="22"/>
      <c r="ADS96" s="22"/>
      <c r="ADT96" s="22"/>
      <c r="ADU96" s="22"/>
      <c r="ADV96" s="22"/>
      <c r="ADW96" s="22"/>
      <c r="ADX96" s="22"/>
      <c r="ADY96" s="22"/>
      <c r="ADZ96" s="22"/>
      <c r="AEA96" s="22"/>
      <c r="AEB96" s="22"/>
      <c r="AEC96" s="22"/>
      <c r="AED96" s="22"/>
      <c r="AEE96" s="22"/>
      <c r="AEF96" s="22"/>
      <c r="AEG96" s="22"/>
      <c r="AEH96" s="22"/>
      <c r="AEI96" s="22"/>
      <c r="AEJ96" s="22"/>
      <c r="AEK96" s="22"/>
      <c r="AEL96" s="22"/>
      <c r="AEM96" s="22"/>
      <c r="AEN96" s="22"/>
      <c r="AEO96" s="22"/>
      <c r="AEP96" s="22"/>
      <c r="AEQ96" s="22"/>
      <c r="AER96" s="22"/>
      <c r="AES96" s="22"/>
      <c r="AET96" s="22"/>
      <c r="AEU96" s="22"/>
      <c r="AEV96" s="22"/>
      <c r="AEW96" s="22"/>
      <c r="AEX96" s="22"/>
      <c r="AEY96" s="22"/>
      <c r="AEZ96" s="22"/>
      <c r="AFA96" s="22"/>
      <c r="AFB96" s="22"/>
      <c r="AFC96" s="22"/>
      <c r="AFD96" s="22"/>
      <c r="AFE96" s="22"/>
      <c r="AFF96" s="22"/>
      <c r="AFG96" s="22"/>
      <c r="AFH96" s="22"/>
      <c r="AFI96" s="22"/>
      <c r="AFJ96" s="22"/>
      <c r="AFK96" s="22"/>
      <c r="AFL96" s="22"/>
      <c r="AFM96" s="22"/>
      <c r="AFN96" s="22"/>
      <c r="AFO96" s="22"/>
      <c r="AFP96" s="22"/>
      <c r="AFQ96" s="22"/>
      <c r="AFR96" s="22"/>
      <c r="AFS96" s="22"/>
      <c r="AFT96" s="22"/>
      <c r="AFU96" s="22"/>
      <c r="AFV96" s="22"/>
      <c r="AFW96" s="22"/>
      <c r="AFX96" s="22"/>
      <c r="AFY96" s="22"/>
      <c r="AFZ96" s="22"/>
      <c r="AGA96" s="22"/>
      <c r="AGB96" s="22"/>
      <c r="AGC96" s="22"/>
      <c r="AGD96" s="22"/>
      <c r="AGE96" s="22"/>
      <c r="AGF96" s="22"/>
      <c r="AGG96" s="22"/>
      <c r="AGH96" s="22"/>
      <c r="AGI96" s="22"/>
      <c r="AGJ96" s="22"/>
      <c r="AGK96" s="22"/>
      <c r="AGL96" s="22"/>
      <c r="AGM96" s="22"/>
      <c r="AGN96" s="22"/>
      <c r="AGO96" s="22"/>
      <c r="AGP96" s="22"/>
      <c r="AGQ96" s="22"/>
      <c r="AGR96" s="22"/>
      <c r="AGS96" s="22"/>
      <c r="AGT96" s="22"/>
      <c r="AGU96" s="22"/>
      <c r="AGV96" s="22"/>
      <c r="AGW96" s="22"/>
      <c r="AGX96" s="22"/>
      <c r="AGY96" s="22"/>
      <c r="AGZ96" s="22"/>
      <c r="AHA96" s="22"/>
      <c r="AHB96" s="22"/>
      <c r="AHC96" s="22"/>
      <c r="AHD96" s="22"/>
      <c r="AHE96" s="22"/>
      <c r="AHF96" s="22"/>
      <c r="AHG96" s="22"/>
      <c r="AHH96" s="22"/>
      <c r="AHI96" s="22"/>
      <c r="AHJ96" s="22"/>
      <c r="AHK96" s="22"/>
      <c r="AHL96" s="22"/>
      <c r="AHM96" s="22"/>
      <c r="AHN96" s="22"/>
      <c r="AHO96" s="22"/>
      <c r="AHP96" s="22"/>
      <c r="AHQ96" s="22"/>
      <c r="AHR96" s="22"/>
      <c r="AHS96" s="22"/>
      <c r="AHT96" s="22"/>
      <c r="AHU96" s="22"/>
      <c r="AHV96" s="22"/>
      <c r="AHW96" s="22"/>
      <c r="AHX96" s="22"/>
      <c r="AHY96" s="22"/>
      <c r="AHZ96" s="22"/>
      <c r="AIA96" s="22"/>
      <c r="AIB96" s="22"/>
      <c r="AIC96" s="22"/>
      <c r="AID96" s="22"/>
      <c r="AIE96" s="22"/>
      <c r="AIF96" s="22"/>
      <c r="AIG96" s="22"/>
      <c r="AIH96" s="22"/>
      <c r="AII96" s="22"/>
      <c r="AIJ96" s="22"/>
      <c r="AIK96" s="22"/>
      <c r="AIL96" s="22"/>
      <c r="AIM96" s="22"/>
      <c r="AIN96" s="22"/>
      <c r="AIO96" s="22"/>
      <c r="AIP96" s="22"/>
      <c r="AIQ96" s="22"/>
      <c r="AIR96" s="22"/>
      <c r="AIS96" s="22"/>
      <c r="AIT96" s="22"/>
      <c r="AIU96" s="22"/>
      <c r="AIV96" s="22"/>
      <c r="AIW96" s="22"/>
      <c r="AIX96" s="22"/>
      <c r="AIY96" s="22"/>
      <c r="AIZ96" s="22"/>
      <c r="AJA96" s="22"/>
      <c r="AJB96" s="22"/>
      <c r="AJC96" s="22"/>
      <c r="AJD96" s="22"/>
      <c r="AJE96" s="22"/>
      <c r="AJF96" s="22"/>
      <c r="AJG96" s="22"/>
      <c r="AJH96" s="22"/>
      <c r="AJI96" s="22"/>
      <c r="AJJ96" s="22"/>
      <c r="AJK96" s="22"/>
      <c r="AJL96" s="22"/>
      <c r="AJM96" s="22"/>
      <c r="AJN96" s="22"/>
      <c r="AJO96" s="22"/>
      <c r="AJP96" s="22"/>
      <c r="AJQ96" s="22"/>
      <c r="AJR96" s="22"/>
      <c r="AJS96" s="22"/>
      <c r="AJT96" s="22"/>
      <c r="AJU96" s="22"/>
      <c r="AJV96" s="22"/>
      <c r="AJW96" s="22"/>
      <c r="AJX96" s="22"/>
      <c r="AJY96" s="22"/>
      <c r="AJZ96" s="22"/>
      <c r="AKA96" s="22"/>
      <c r="AKB96" s="22"/>
      <c r="AKC96" s="22"/>
      <c r="AKD96" s="22"/>
      <c r="AKE96" s="22"/>
      <c r="AKF96" s="22"/>
      <c r="AKG96" s="22"/>
      <c r="AKH96" s="22"/>
      <c r="AKI96" s="22"/>
      <c r="AKJ96" s="22"/>
      <c r="AKK96" s="22"/>
      <c r="AKL96" s="22"/>
      <c r="AKM96" s="22"/>
      <c r="AKN96" s="22"/>
      <c r="AKO96" s="22"/>
      <c r="AKP96" s="22"/>
      <c r="AKQ96" s="22"/>
      <c r="AKR96" s="22"/>
      <c r="AKS96" s="22"/>
      <c r="AKT96" s="22"/>
      <c r="AKU96" s="22"/>
      <c r="AKV96" s="22"/>
      <c r="AKW96" s="22"/>
      <c r="AKX96" s="22"/>
      <c r="AKY96" s="22"/>
      <c r="AKZ96" s="22"/>
      <c r="ALA96" s="22"/>
      <c r="ALB96" s="22"/>
      <c r="ALC96" s="22"/>
      <c r="ALD96" s="22"/>
      <c r="ALE96" s="22"/>
      <c r="ALF96" s="22"/>
      <c r="ALG96" s="22"/>
      <c r="ALH96" s="22"/>
      <c r="ALI96" s="22"/>
      <c r="ALJ96" s="22"/>
      <c r="ALK96" s="22"/>
      <c r="ALL96" s="22"/>
      <c r="ALM96" s="22"/>
      <c r="ALN96" s="22"/>
      <c r="ALO96" s="22"/>
      <c r="ALP96" s="22"/>
      <c r="ALQ96" s="22"/>
      <c r="ALR96" s="22"/>
      <c r="ALS96" s="22"/>
      <c r="ALT96" s="22"/>
      <c r="ALU96" s="22"/>
      <c r="ALV96" s="22"/>
      <c r="ALW96" s="22"/>
      <c r="ALX96" s="22"/>
      <c r="ALY96" s="22"/>
      <c r="ALZ96" s="22"/>
      <c r="AMA96" s="22"/>
      <c r="AMB96" s="22"/>
      <c r="AMC96" s="22"/>
      <c r="AMD96" s="22"/>
      <c r="AME96" s="22"/>
      <c r="AMF96" s="22"/>
      <c r="AMG96" s="22"/>
      <c r="AMH96" s="22"/>
      <c r="AMI96" s="22"/>
      <c r="AMJ96" s="22"/>
      <c r="AMK96" s="22"/>
      <c r="AML96" s="22"/>
      <c r="AMM96" s="22"/>
      <c r="AMN96" s="22"/>
      <c r="AMO96" s="22"/>
      <c r="AMP96" s="22"/>
      <c r="AMQ96" s="22"/>
      <c r="AMR96" s="22"/>
      <c r="AMS96" s="22"/>
      <c r="AMT96" s="22"/>
      <c r="AMU96" s="22"/>
      <c r="AMV96" s="22"/>
      <c r="AMW96" s="22"/>
      <c r="AMX96" s="22"/>
      <c r="AMY96" s="22"/>
      <c r="AMZ96" s="22"/>
      <c r="ANA96" s="22"/>
      <c r="ANB96" s="22"/>
      <c r="ANC96" s="22"/>
      <c r="AND96" s="22"/>
      <c r="ANE96" s="22"/>
      <c r="ANF96" s="22"/>
      <c r="ANG96" s="22"/>
      <c r="ANH96" s="22"/>
      <c r="ANI96" s="22"/>
      <c r="ANJ96" s="22"/>
      <c r="ANK96" s="22"/>
      <c r="ANL96" s="22"/>
      <c r="ANM96" s="22"/>
      <c r="ANN96" s="22"/>
      <c r="ANO96" s="22"/>
      <c r="ANP96" s="22"/>
      <c r="ANQ96" s="22"/>
      <c r="ANR96" s="22"/>
      <c r="ANS96" s="22"/>
      <c r="ANT96" s="22"/>
      <c r="ANU96" s="22"/>
      <c r="ANV96" s="22"/>
      <c r="ANW96" s="22"/>
      <c r="ANX96" s="22"/>
      <c r="ANY96" s="22"/>
      <c r="ANZ96" s="22"/>
      <c r="AOA96" s="22"/>
      <c r="AOB96" s="22"/>
      <c r="AOC96" s="22"/>
      <c r="AOD96" s="22"/>
      <c r="AOE96" s="22"/>
      <c r="AOF96" s="22"/>
      <c r="AOG96" s="22"/>
      <c r="AOH96" s="22"/>
      <c r="AOI96" s="22"/>
      <c r="AOJ96" s="22"/>
      <c r="AOK96" s="22"/>
      <c r="AOL96" s="22"/>
      <c r="AOM96" s="22"/>
      <c r="AON96" s="22"/>
      <c r="AOO96" s="22"/>
      <c r="AOP96" s="22"/>
      <c r="AOQ96" s="22"/>
      <c r="AOR96" s="22"/>
      <c r="AOS96" s="22"/>
      <c r="AOT96" s="22"/>
      <c r="AOU96" s="22"/>
      <c r="AOV96" s="22"/>
      <c r="AOW96" s="22"/>
      <c r="AOX96" s="22"/>
      <c r="AOY96" s="22"/>
      <c r="AOZ96" s="22"/>
      <c r="APA96" s="22"/>
      <c r="APB96" s="22"/>
      <c r="APC96" s="22"/>
      <c r="APD96" s="22"/>
      <c r="APE96" s="22"/>
      <c r="APF96" s="22"/>
      <c r="APG96" s="22"/>
      <c r="APH96" s="22"/>
      <c r="API96" s="22"/>
      <c r="APJ96" s="22"/>
      <c r="APK96" s="22"/>
      <c r="APL96" s="22"/>
      <c r="APM96" s="22"/>
      <c r="APN96" s="22"/>
      <c r="APO96" s="22"/>
      <c r="APP96" s="22"/>
      <c r="APQ96" s="22"/>
      <c r="APR96" s="22"/>
      <c r="APS96" s="22"/>
      <c r="APT96" s="22"/>
      <c r="APU96" s="22"/>
      <c r="APV96" s="22"/>
      <c r="APW96" s="22"/>
      <c r="APX96" s="22"/>
      <c r="APY96" s="22"/>
      <c r="APZ96" s="22"/>
      <c r="AQA96" s="22"/>
      <c r="AQB96" s="22"/>
      <c r="AQC96" s="22"/>
      <c r="AQD96" s="22"/>
      <c r="AQE96" s="22"/>
      <c r="AQF96" s="22"/>
      <c r="AQG96" s="22"/>
      <c r="AQH96" s="22"/>
      <c r="AQI96" s="22"/>
      <c r="AQJ96" s="22"/>
      <c r="AQK96" s="22"/>
      <c r="AQL96" s="22"/>
      <c r="AQM96" s="22"/>
      <c r="AQN96" s="22"/>
      <c r="AQO96" s="22"/>
      <c r="AQP96" s="22"/>
      <c r="AQQ96" s="22"/>
      <c r="AQR96" s="22"/>
      <c r="AQS96" s="22"/>
      <c r="AQT96" s="22"/>
      <c r="AQU96" s="22"/>
      <c r="AQV96" s="22"/>
      <c r="AQW96" s="22"/>
      <c r="AQX96" s="22"/>
      <c r="AQY96" s="22"/>
      <c r="AQZ96" s="22"/>
      <c r="ARA96" s="22"/>
      <c r="ARB96" s="22"/>
      <c r="ARC96" s="22"/>
      <c r="ARD96" s="22"/>
      <c r="ARE96" s="22"/>
      <c r="ARF96" s="22"/>
      <c r="ARG96" s="22"/>
      <c r="ARH96" s="22"/>
      <c r="ARI96" s="22"/>
      <c r="ARJ96" s="22"/>
      <c r="ARK96" s="22"/>
      <c r="ARL96" s="22"/>
      <c r="ARM96" s="22"/>
      <c r="ARN96" s="22"/>
      <c r="ARO96" s="22"/>
      <c r="ARP96" s="22"/>
      <c r="ARQ96" s="22"/>
      <c r="ARR96" s="22"/>
      <c r="ARS96" s="22"/>
      <c r="ART96" s="22"/>
      <c r="ARU96" s="22"/>
      <c r="ARV96" s="22"/>
      <c r="ARW96" s="22"/>
      <c r="ARX96" s="22"/>
      <c r="ARY96" s="22"/>
      <c r="ARZ96" s="22"/>
      <c r="ASA96" s="22"/>
      <c r="ASB96" s="22"/>
      <c r="ASC96" s="22"/>
      <c r="ASD96" s="22"/>
      <c r="ASE96" s="22"/>
      <c r="ASF96" s="22"/>
      <c r="ASG96" s="22"/>
      <c r="ASH96" s="22"/>
      <c r="ASI96" s="22"/>
      <c r="ASJ96" s="22"/>
      <c r="ASK96" s="22"/>
      <c r="ASL96" s="22"/>
      <c r="ASM96" s="22"/>
      <c r="ASN96" s="22"/>
      <c r="ASO96" s="22"/>
      <c r="ASP96" s="22"/>
      <c r="ASQ96" s="22"/>
      <c r="ASR96" s="22"/>
      <c r="ASS96" s="22"/>
      <c r="AST96" s="22"/>
      <c r="ASU96" s="22"/>
      <c r="ASV96" s="22"/>
      <c r="ASW96" s="22"/>
      <c r="ASX96" s="22"/>
      <c r="ASY96" s="22"/>
      <c r="ASZ96" s="22"/>
      <c r="ATA96" s="22"/>
      <c r="ATB96" s="22"/>
      <c r="ATC96" s="22"/>
      <c r="ATD96" s="22"/>
      <c r="ATE96" s="22"/>
      <c r="ATF96" s="22"/>
      <c r="ATG96" s="22"/>
      <c r="ATH96" s="22"/>
      <c r="ATI96" s="22"/>
      <c r="ATJ96" s="22"/>
      <c r="ATK96" s="22"/>
      <c r="ATL96" s="22"/>
      <c r="ATM96" s="22"/>
      <c r="ATN96" s="22"/>
      <c r="ATO96" s="22"/>
      <c r="ATP96" s="22"/>
      <c r="ATQ96" s="22"/>
      <c r="ATR96" s="22"/>
      <c r="ATS96" s="22"/>
      <c r="ATT96" s="22"/>
      <c r="ATU96" s="22"/>
      <c r="ATV96" s="22"/>
      <c r="ATW96" s="22"/>
      <c r="ATX96" s="22"/>
      <c r="ATY96" s="22"/>
      <c r="ATZ96" s="22"/>
      <c r="AUA96" s="22"/>
      <c r="AUB96" s="22"/>
      <c r="AUC96" s="22"/>
      <c r="AUD96" s="22"/>
      <c r="AUE96" s="22"/>
      <c r="AUF96" s="22"/>
      <c r="AUG96" s="22"/>
      <c r="AUH96" s="22"/>
      <c r="AUI96" s="22"/>
      <c r="AUJ96" s="22"/>
      <c r="AUK96" s="22"/>
      <c r="AUL96" s="22"/>
      <c r="AUM96" s="22"/>
      <c r="AUN96" s="22"/>
      <c r="AUO96" s="22"/>
      <c r="AUP96" s="22"/>
      <c r="AUQ96" s="22"/>
      <c r="AUR96" s="22"/>
      <c r="AUS96" s="22"/>
      <c r="AUT96" s="22"/>
      <c r="AUU96" s="22"/>
      <c r="AUV96" s="22"/>
      <c r="AUW96" s="22"/>
      <c r="AUX96" s="22"/>
      <c r="AUY96" s="22"/>
      <c r="AUZ96" s="22"/>
      <c r="AVA96" s="22"/>
      <c r="AVB96" s="22"/>
      <c r="AVC96" s="22"/>
      <c r="AVD96" s="22"/>
      <c r="AVE96" s="22"/>
      <c r="AVF96" s="22"/>
      <c r="AVG96" s="22"/>
      <c r="AVH96" s="22"/>
      <c r="AVI96" s="22"/>
      <c r="AVJ96" s="22"/>
      <c r="AVK96" s="22"/>
      <c r="AVL96" s="22"/>
      <c r="AVM96" s="22"/>
      <c r="AVN96" s="22"/>
      <c r="AVO96" s="22"/>
      <c r="AVP96" s="22"/>
      <c r="AVQ96" s="22"/>
      <c r="AVR96" s="22"/>
      <c r="AVS96" s="22"/>
      <c r="AVT96" s="22"/>
      <c r="AVU96" s="22"/>
      <c r="AVV96" s="22"/>
      <c r="AVW96" s="22"/>
      <c r="AVX96" s="22"/>
      <c r="AVY96" s="22"/>
      <c r="AVZ96" s="22"/>
      <c r="AWA96" s="22"/>
      <c r="AWB96" s="22"/>
      <c r="AWC96" s="22"/>
      <c r="AWD96" s="22"/>
      <c r="AWE96" s="22"/>
      <c r="AWF96" s="22"/>
      <c r="AWG96" s="22"/>
      <c r="AWH96" s="22"/>
      <c r="AWI96" s="22"/>
      <c r="AWJ96" s="22"/>
      <c r="AWK96" s="22"/>
      <c r="AWL96" s="22"/>
      <c r="AWM96" s="22"/>
      <c r="AWN96" s="22"/>
      <c r="AWO96" s="22"/>
      <c r="AWP96" s="22"/>
      <c r="AWQ96" s="22"/>
      <c r="AWR96" s="22"/>
      <c r="AWS96" s="22"/>
      <c r="AWT96" s="22"/>
      <c r="AWU96" s="22"/>
      <c r="AWV96" s="22"/>
      <c r="AWW96" s="22"/>
      <c r="AWX96" s="22"/>
      <c r="AWY96" s="22"/>
      <c r="AWZ96" s="22"/>
      <c r="AXA96" s="22"/>
      <c r="AXB96" s="22"/>
      <c r="AXC96" s="22"/>
      <c r="AXD96" s="22"/>
      <c r="AXE96" s="22"/>
      <c r="AXF96" s="22"/>
      <c r="AXG96" s="22"/>
      <c r="AXH96" s="22"/>
      <c r="AXI96" s="22"/>
      <c r="AXJ96" s="22"/>
      <c r="AXK96" s="22"/>
      <c r="AXL96" s="22"/>
      <c r="AXM96" s="22"/>
      <c r="AXN96" s="22"/>
      <c r="AXO96" s="22"/>
      <c r="AXP96" s="22"/>
      <c r="AXQ96" s="22"/>
      <c r="AXR96" s="22"/>
      <c r="AXS96" s="22"/>
      <c r="AXT96" s="22"/>
      <c r="AXU96" s="22"/>
      <c r="AXV96" s="22"/>
      <c r="AXW96" s="22"/>
      <c r="AXX96" s="22"/>
      <c r="AXY96" s="22"/>
      <c r="AXZ96" s="22"/>
      <c r="AYA96" s="22"/>
      <c r="AYB96" s="22"/>
      <c r="AYC96" s="22"/>
      <c r="AYD96" s="22"/>
      <c r="AYE96" s="22"/>
      <c r="AYF96" s="22"/>
      <c r="AYG96" s="22"/>
      <c r="AYH96" s="22"/>
      <c r="AYI96" s="22"/>
      <c r="AYJ96" s="22"/>
      <c r="AYK96" s="22"/>
      <c r="AYL96" s="22"/>
      <c r="AYM96" s="22"/>
      <c r="AYN96" s="22"/>
      <c r="AYO96" s="22"/>
      <c r="AYP96" s="22"/>
      <c r="AYQ96" s="22"/>
      <c r="AYR96" s="22"/>
      <c r="AYS96" s="22"/>
      <c r="AYT96" s="22"/>
      <c r="AYU96" s="22"/>
      <c r="AYV96" s="22"/>
      <c r="AYW96" s="22"/>
      <c r="AYX96" s="22"/>
      <c r="AYY96" s="22"/>
      <c r="AYZ96" s="22"/>
      <c r="AZA96" s="22"/>
      <c r="AZB96" s="22"/>
      <c r="AZC96" s="22"/>
      <c r="AZD96" s="22"/>
      <c r="AZE96" s="22"/>
      <c r="AZF96" s="22"/>
      <c r="AZG96" s="22"/>
      <c r="AZH96" s="22"/>
      <c r="AZI96" s="22"/>
      <c r="AZJ96" s="22"/>
      <c r="AZK96" s="22"/>
      <c r="AZL96" s="22"/>
      <c r="AZM96" s="22"/>
      <c r="AZN96" s="22"/>
      <c r="AZO96" s="22"/>
      <c r="AZP96" s="22"/>
      <c r="AZQ96" s="22"/>
      <c r="AZR96" s="22"/>
      <c r="AZS96" s="22"/>
      <c r="AZT96" s="22"/>
      <c r="AZU96" s="22"/>
      <c r="AZV96" s="22"/>
      <c r="AZW96" s="22"/>
      <c r="AZX96" s="22"/>
      <c r="AZY96" s="22"/>
      <c r="AZZ96" s="22"/>
      <c r="BAA96" s="22"/>
      <c r="BAB96" s="22"/>
      <c r="BAC96" s="22"/>
      <c r="BAD96" s="22"/>
      <c r="BAE96" s="22"/>
      <c r="BAF96" s="22"/>
      <c r="BAG96" s="22"/>
      <c r="BAH96" s="22"/>
      <c r="BAI96" s="22"/>
      <c r="BAJ96" s="22"/>
      <c r="BAK96" s="22"/>
      <c r="BAL96" s="22"/>
      <c r="BAM96" s="22"/>
      <c r="BAN96" s="22"/>
      <c r="BAO96" s="22"/>
      <c r="BAP96" s="22"/>
      <c r="BAQ96" s="22"/>
      <c r="BAR96" s="22"/>
      <c r="BAS96" s="22"/>
      <c r="BAT96" s="22"/>
      <c r="BAU96" s="22"/>
      <c r="BAV96" s="22"/>
      <c r="BAW96" s="22"/>
      <c r="BAX96" s="22"/>
      <c r="BAY96" s="22"/>
      <c r="BAZ96" s="22"/>
      <c r="BBA96" s="22"/>
      <c r="BBB96" s="22"/>
      <c r="BBC96" s="22"/>
      <c r="BBD96" s="22"/>
      <c r="BBE96" s="22"/>
      <c r="BBF96" s="22"/>
      <c r="BBG96" s="22"/>
      <c r="BBH96" s="22"/>
      <c r="BBI96" s="22"/>
      <c r="BBJ96" s="22"/>
      <c r="BBK96" s="22"/>
      <c r="BBL96" s="22"/>
      <c r="BBM96" s="22"/>
      <c r="BBN96" s="22"/>
      <c r="BBO96" s="22"/>
      <c r="BBP96" s="22"/>
      <c r="BBQ96" s="22"/>
      <c r="BBR96" s="22"/>
      <c r="BBS96" s="22"/>
      <c r="BBT96" s="22"/>
      <c r="BBU96" s="22"/>
      <c r="BBV96" s="22"/>
      <c r="BBW96" s="22"/>
      <c r="BBX96" s="22"/>
      <c r="BBY96" s="22"/>
      <c r="BBZ96" s="22"/>
      <c r="BCA96" s="22"/>
      <c r="BCB96" s="22"/>
      <c r="BCC96" s="22"/>
      <c r="BCD96" s="22"/>
      <c r="BCE96" s="22"/>
      <c r="BCF96" s="22"/>
      <c r="BCG96" s="22"/>
      <c r="BCH96" s="22"/>
      <c r="BCI96" s="22"/>
      <c r="BCJ96" s="22"/>
      <c r="BCK96" s="22"/>
      <c r="BCL96" s="22"/>
      <c r="BCM96" s="22"/>
      <c r="BCN96" s="22"/>
      <c r="BCO96" s="22"/>
      <c r="BCP96" s="22"/>
      <c r="BCQ96" s="22"/>
      <c r="BCR96" s="22"/>
      <c r="BCS96" s="22"/>
      <c r="BCT96" s="22"/>
      <c r="BCU96" s="22"/>
      <c r="BCV96" s="22"/>
      <c r="BCW96" s="22"/>
      <c r="BCX96" s="22"/>
      <c r="BCY96" s="22"/>
      <c r="BCZ96" s="22"/>
      <c r="BDA96" s="22"/>
      <c r="BDB96" s="22"/>
      <c r="BDC96" s="22"/>
      <c r="BDD96" s="22"/>
      <c r="BDE96" s="22"/>
      <c r="BDF96" s="22"/>
      <c r="BDG96" s="22"/>
      <c r="BDH96" s="22"/>
      <c r="BDI96" s="22"/>
      <c r="BDJ96" s="22"/>
      <c r="BDK96" s="22"/>
      <c r="BDL96" s="22"/>
      <c r="BDM96" s="22"/>
      <c r="BDN96" s="22"/>
      <c r="BDO96" s="22"/>
      <c r="BDP96" s="22"/>
      <c r="BDQ96" s="22"/>
      <c r="BDR96" s="22"/>
      <c r="BDS96" s="22"/>
      <c r="BDT96" s="22"/>
      <c r="BDU96" s="22"/>
      <c r="BDV96" s="22"/>
      <c r="BDW96" s="22"/>
      <c r="BDX96" s="22"/>
      <c r="BDY96" s="22"/>
      <c r="BDZ96" s="22"/>
      <c r="BEA96" s="22"/>
      <c r="BEB96" s="22"/>
      <c r="BEC96" s="22"/>
      <c r="BED96" s="22"/>
      <c r="BEE96" s="22"/>
      <c r="BEF96" s="22"/>
      <c r="BEG96" s="22"/>
      <c r="BEH96" s="22"/>
      <c r="BEI96" s="22"/>
      <c r="BEJ96" s="22"/>
      <c r="BEK96" s="22"/>
      <c r="BEL96" s="22"/>
      <c r="BEM96" s="22"/>
      <c r="BEN96" s="22"/>
      <c r="BEO96" s="22"/>
      <c r="BEP96" s="22"/>
      <c r="BEQ96" s="22"/>
      <c r="BER96" s="22"/>
      <c r="BES96" s="22"/>
      <c r="BET96" s="22"/>
      <c r="BEU96" s="22"/>
      <c r="BEV96" s="22"/>
      <c r="BEW96" s="22"/>
      <c r="BEX96" s="22"/>
      <c r="BEY96" s="22"/>
      <c r="BEZ96" s="22"/>
      <c r="BFA96" s="22"/>
      <c r="BFB96" s="22"/>
      <c r="BFC96" s="22"/>
      <c r="BFD96" s="22"/>
      <c r="BFE96" s="22"/>
      <c r="BFF96" s="22"/>
      <c r="BFG96" s="22"/>
      <c r="BFH96" s="22"/>
      <c r="BFI96" s="22"/>
      <c r="BFJ96" s="22"/>
      <c r="BFK96" s="22"/>
      <c r="BFL96" s="22"/>
      <c r="BFM96" s="22"/>
      <c r="BFN96" s="22"/>
      <c r="BFO96" s="22"/>
      <c r="BFP96" s="22"/>
      <c r="BFQ96" s="22"/>
      <c r="BFR96" s="22"/>
      <c r="BFS96" s="22"/>
      <c r="BFT96" s="22"/>
      <c r="BFU96" s="22"/>
      <c r="BFV96" s="22"/>
      <c r="BFW96" s="22"/>
    </row>
    <row r="97" spans="1:1531" s="208" customFormat="1" ht="46.15" customHeight="1" x14ac:dyDescent="0.2">
      <c r="A97" s="305" t="s">
        <v>528</v>
      </c>
      <c r="B97" s="286"/>
      <c r="C97" s="122" t="s">
        <v>558</v>
      </c>
      <c r="D97" s="286"/>
      <c r="E97" s="286" t="s">
        <v>840</v>
      </c>
      <c r="F97" s="286"/>
      <c r="G97" s="286" t="s">
        <v>536</v>
      </c>
      <c r="H97" s="174"/>
      <c r="I97" s="281">
        <v>650</v>
      </c>
      <c r="J97" s="176"/>
      <c r="K97" s="122" t="s">
        <v>117</v>
      </c>
      <c r="L97" s="176"/>
      <c r="M97" s="176"/>
      <c r="N97" s="176"/>
      <c r="O97" s="176">
        <v>2016</v>
      </c>
      <c r="P97" s="162" t="s">
        <v>750</v>
      </c>
      <c r="Q97" s="176"/>
      <c r="R97" s="176"/>
      <c r="S97" s="282"/>
      <c r="T97" s="176"/>
      <c r="U97" s="176"/>
      <c r="V97" s="176"/>
      <c r="W97" s="176"/>
      <c r="X97" s="176"/>
      <c r="Y97" s="283"/>
      <c r="Z97" s="176"/>
      <c r="AA97" s="282"/>
      <c r="AB97" s="176"/>
      <c r="AC97" s="176"/>
      <c r="AD97" s="176"/>
      <c r="AE97" s="176"/>
      <c r="AF97" s="176"/>
      <c r="AG97" s="176"/>
      <c r="AH97" s="176"/>
      <c r="AI97" s="176"/>
      <c r="AJ97" s="176"/>
      <c r="AK97" s="176"/>
      <c r="AL97" s="176">
        <v>28</v>
      </c>
      <c r="AM97" s="176"/>
      <c r="AN97" s="284">
        <v>18200</v>
      </c>
      <c r="AU97" s="285"/>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22"/>
      <c r="IZ97" s="22"/>
      <c r="JA97" s="22"/>
      <c r="JB97" s="22"/>
      <c r="JC97" s="22"/>
      <c r="JD97" s="22"/>
      <c r="JE97" s="22"/>
      <c r="JF97" s="22"/>
      <c r="JG97" s="22"/>
      <c r="JH97" s="22"/>
      <c r="JI97" s="22"/>
      <c r="JJ97" s="22"/>
      <c r="JK97" s="22"/>
      <c r="JL97" s="22"/>
      <c r="JM97" s="22"/>
      <c r="JN97" s="22"/>
      <c r="JO97" s="22"/>
      <c r="JP97" s="22"/>
      <c r="JQ97" s="22"/>
      <c r="JR97" s="22"/>
      <c r="JS97" s="22"/>
      <c r="JT97" s="22"/>
      <c r="JU97" s="22"/>
      <c r="JV97" s="22"/>
      <c r="JW97" s="22"/>
      <c r="JX97" s="22"/>
      <c r="JY97" s="22"/>
      <c r="JZ97" s="22"/>
      <c r="KA97" s="22"/>
      <c r="KB97" s="22"/>
      <c r="KC97" s="22"/>
      <c r="KD97" s="22"/>
      <c r="KE97" s="22"/>
      <c r="KF97" s="22"/>
      <c r="KG97" s="22"/>
      <c r="KH97" s="22"/>
      <c r="KI97" s="22"/>
      <c r="KJ97" s="22"/>
      <c r="KK97" s="22"/>
      <c r="KL97" s="22"/>
      <c r="KM97" s="22"/>
      <c r="KN97" s="22"/>
      <c r="KO97" s="22"/>
      <c r="KP97" s="22"/>
      <c r="KQ97" s="22"/>
      <c r="KR97" s="22"/>
      <c r="KS97" s="22"/>
      <c r="KT97" s="22"/>
      <c r="KU97" s="22"/>
      <c r="KV97" s="22"/>
      <c r="KW97" s="22"/>
      <c r="KX97" s="22"/>
      <c r="KY97" s="22"/>
      <c r="KZ97" s="22"/>
      <c r="LA97" s="22"/>
      <c r="LB97" s="22"/>
      <c r="LC97" s="22"/>
      <c r="LD97" s="22"/>
      <c r="LE97" s="22"/>
      <c r="LF97" s="22"/>
      <c r="LG97" s="22"/>
      <c r="LH97" s="22"/>
      <c r="LI97" s="22"/>
      <c r="LJ97" s="22"/>
      <c r="LK97" s="22"/>
      <c r="LL97" s="22"/>
      <c r="LM97" s="22"/>
      <c r="LN97" s="22"/>
      <c r="LO97" s="22"/>
      <c r="LP97" s="22"/>
      <c r="LQ97" s="22"/>
      <c r="LR97" s="22"/>
      <c r="LS97" s="22"/>
      <c r="LT97" s="22"/>
      <c r="LU97" s="22"/>
      <c r="LV97" s="22"/>
      <c r="LW97" s="22"/>
      <c r="LX97" s="22"/>
      <c r="LY97" s="22"/>
      <c r="LZ97" s="22"/>
      <c r="MA97" s="22"/>
      <c r="MB97" s="22"/>
      <c r="MC97" s="22"/>
      <c r="MD97" s="22"/>
      <c r="ME97" s="22"/>
      <c r="MF97" s="22"/>
      <c r="MG97" s="22"/>
      <c r="MH97" s="22"/>
      <c r="MI97" s="22"/>
      <c r="MJ97" s="22"/>
      <c r="MK97" s="22"/>
      <c r="ML97" s="22"/>
      <c r="MM97" s="22"/>
      <c r="MN97" s="22"/>
      <c r="MO97" s="22"/>
      <c r="MP97" s="22"/>
      <c r="MQ97" s="22"/>
      <c r="MR97" s="22"/>
      <c r="MS97" s="22"/>
      <c r="MT97" s="22"/>
      <c r="MU97" s="22"/>
      <c r="MV97" s="22"/>
      <c r="MW97" s="22"/>
      <c r="MX97" s="22"/>
      <c r="MY97" s="22"/>
      <c r="MZ97" s="22"/>
      <c r="NA97" s="22"/>
      <c r="NB97" s="22"/>
      <c r="NC97" s="22"/>
      <c r="ND97" s="22"/>
      <c r="NE97" s="22"/>
      <c r="NF97" s="22"/>
      <c r="NG97" s="22"/>
      <c r="NH97" s="22"/>
      <c r="NI97" s="22"/>
      <c r="NJ97" s="22"/>
      <c r="NK97" s="22"/>
      <c r="NL97" s="22"/>
      <c r="NM97" s="22"/>
      <c r="NN97" s="22"/>
      <c r="NO97" s="22"/>
      <c r="NP97" s="22"/>
      <c r="NQ97" s="22"/>
      <c r="NR97" s="22"/>
      <c r="NS97" s="22"/>
      <c r="NT97" s="22"/>
      <c r="NU97" s="22"/>
      <c r="NV97" s="22"/>
      <c r="NW97" s="22"/>
      <c r="NX97" s="22"/>
      <c r="NY97" s="22"/>
      <c r="NZ97" s="22"/>
      <c r="OA97" s="22"/>
      <c r="OB97" s="22"/>
      <c r="OC97" s="22"/>
      <c r="OD97" s="22"/>
      <c r="OE97" s="22"/>
      <c r="OF97" s="22"/>
      <c r="OG97" s="22"/>
      <c r="OH97" s="22"/>
      <c r="OI97" s="22"/>
      <c r="OJ97" s="22"/>
      <c r="OK97" s="22"/>
      <c r="OL97" s="22"/>
      <c r="OM97" s="22"/>
      <c r="ON97" s="22"/>
      <c r="OO97" s="22"/>
      <c r="OP97" s="22"/>
      <c r="OQ97" s="22"/>
      <c r="OR97" s="22"/>
      <c r="OS97" s="22"/>
      <c r="OT97" s="22"/>
      <c r="OU97" s="22"/>
      <c r="OV97" s="22"/>
      <c r="OW97" s="22"/>
      <c r="OX97" s="22"/>
      <c r="OY97" s="22"/>
      <c r="OZ97" s="22"/>
      <c r="PA97" s="22"/>
      <c r="PB97" s="22"/>
      <c r="PC97" s="22"/>
      <c r="PD97" s="22"/>
      <c r="PE97" s="22"/>
      <c r="PF97" s="22"/>
      <c r="PG97" s="22"/>
      <c r="PH97" s="22"/>
      <c r="PI97" s="22"/>
      <c r="PJ97" s="22"/>
      <c r="PK97" s="22"/>
      <c r="PL97" s="22"/>
      <c r="PM97" s="22"/>
      <c r="PN97" s="22"/>
      <c r="PO97" s="22"/>
      <c r="PP97" s="22"/>
      <c r="PQ97" s="22"/>
      <c r="PR97" s="22"/>
      <c r="PS97" s="22"/>
      <c r="PT97" s="22"/>
      <c r="PU97" s="22"/>
      <c r="PV97" s="22"/>
      <c r="PW97" s="22"/>
      <c r="PX97" s="22"/>
      <c r="PY97" s="22"/>
      <c r="PZ97" s="22"/>
      <c r="QA97" s="22"/>
      <c r="QB97" s="22"/>
      <c r="QC97" s="22"/>
      <c r="QD97" s="22"/>
      <c r="QE97" s="22"/>
      <c r="QF97" s="22"/>
      <c r="QG97" s="22"/>
      <c r="QH97" s="22"/>
      <c r="QI97" s="22"/>
      <c r="QJ97" s="22"/>
      <c r="QK97" s="22"/>
      <c r="QL97" s="22"/>
      <c r="QM97" s="22"/>
      <c r="QN97" s="22"/>
      <c r="QO97" s="22"/>
      <c r="QP97" s="22"/>
      <c r="QQ97" s="22"/>
      <c r="QR97" s="22"/>
      <c r="QS97" s="22"/>
      <c r="QT97" s="22"/>
      <c r="QU97" s="22"/>
      <c r="QV97" s="22"/>
      <c r="QW97" s="22"/>
      <c r="QX97" s="22"/>
      <c r="QY97" s="22"/>
      <c r="QZ97" s="22"/>
      <c r="RA97" s="22"/>
      <c r="RB97" s="22"/>
      <c r="RC97" s="22"/>
      <c r="RD97" s="22"/>
      <c r="RE97" s="22"/>
      <c r="RF97" s="22"/>
      <c r="RG97" s="22"/>
      <c r="RH97" s="22"/>
      <c r="RI97" s="22"/>
      <c r="RJ97" s="22"/>
      <c r="RK97" s="22"/>
      <c r="RL97" s="22"/>
      <c r="RM97" s="22"/>
      <c r="RN97" s="22"/>
      <c r="RO97" s="22"/>
      <c r="RP97" s="22"/>
      <c r="RQ97" s="22"/>
      <c r="RR97" s="22"/>
      <c r="RS97" s="22"/>
      <c r="RT97" s="22"/>
      <c r="RU97" s="22"/>
      <c r="RV97" s="22"/>
      <c r="RW97" s="22"/>
      <c r="RX97" s="22"/>
      <c r="RY97" s="22"/>
      <c r="RZ97" s="22"/>
      <c r="SA97" s="22"/>
      <c r="SB97" s="22"/>
      <c r="SC97" s="22"/>
      <c r="SD97" s="22"/>
      <c r="SE97" s="22"/>
      <c r="SF97" s="22"/>
      <c r="SG97" s="22"/>
      <c r="SH97" s="22"/>
      <c r="SI97" s="22"/>
      <c r="SJ97" s="22"/>
      <c r="SK97" s="22"/>
      <c r="SL97" s="22"/>
      <c r="SM97" s="22"/>
      <c r="SN97" s="22"/>
      <c r="SO97" s="22"/>
      <c r="SP97" s="22"/>
      <c r="SQ97" s="22"/>
      <c r="SR97" s="22"/>
      <c r="SS97" s="22"/>
      <c r="ST97" s="22"/>
      <c r="SU97" s="22"/>
      <c r="SV97" s="22"/>
      <c r="SW97" s="22"/>
      <c r="SX97" s="22"/>
      <c r="SY97" s="22"/>
      <c r="SZ97" s="22"/>
      <c r="TA97" s="22"/>
      <c r="TB97" s="22"/>
      <c r="TC97" s="22"/>
      <c r="TD97" s="22"/>
      <c r="TE97" s="22"/>
      <c r="TF97" s="22"/>
      <c r="TG97" s="22"/>
      <c r="TH97" s="22"/>
      <c r="TI97" s="22"/>
      <c r="TJ97" s="22"/>
      <c r="TK97" s="22"/>
      <c r="TL97" s="22"/>
      <c r="TM97" s="22"/>
      <c r="TN97" s="22"/>
      <c r="TO97" s="22"/>
      <c r="TP97" s="22"/>
      <c r="TQ97" s="22"/>
      <c r="TR97" s="22"/>
      <c r="TS97" s="22"/>
      <c r="TT97" s="22"/>
      <c r="TU97" s="22"/>
      <c r="TV97" s="22"/>
      <c r="TW97" s="22"/>
      <c r="TX97" s="22"/>
      <c r="TY97" s="22"/>
      <c r="TZ97" s="22"/>
      <c r="UA97" s="22"/>
      <c r="UB97" s="22"/>
      <c r="UC97" s="22"/>
      <c r="UD97" s="22"/>
      <c r="UE97" s="22"/>
      <c r="UF97" s="22"/>
      <c r="UG97" s="22"/>
      <c r="UH97" s="22"/>
      <c r="UI97" s="22"/>
      <c r="UJ97" s="22"/>
      <c r="UK97" s="22"/>
      <c r="UL97" s="22"/>
      <c r="UM97" s="22"/>
      <c r="UN97" s="22"/>
      <c r="UO97" s="22"/>
      <c r="UP97" s="22"/>
      <c r="UQ97" s="22"/>
      <c r="UR97" s="22"/>
      <c r="US97" s="22"/>
      <c r="UT97" s="22"/>
      <c r="UU97" s="22"/>
      <c r="UV97" s="22"/>
      <c r="UW97" s="22"/>
      <c r="UX97" s="22"/>
      <c r="UY97" s="22"/>
      <c r="UZ97" s="22"/>
      <c r="VA97" s="22"/>
      <c r="VB97" s="22"/>
      <c r="VC97" s="22"/>
      <c r="VD97" s="22"/>
      <c r="VE97" s="22"/>
      <c r="VF97" s="22"/>
      <c r="VG97" s="22"/>
      <c r="VH97" s="22"/>
      <c r="VI97" s="22"/>
      <c r="VJ97" s="22"/>
      <c r="VK97" s="22"/>
      <c r="VL97" s="22"/>
      <c r="VM97" s="22"/>
      <c r="VN97" s="22"/>
      <c r="VO97" s="22"/>
      <c r="VP97" s="22"/>
      <c r="VQ97" s="22"/>
      <c r="VR97" s="22"/>
      <c r="VS97" s="22"/>
      <c r="VT97" s="22"/>
      <c r="VU97" s="22"/>
      <c r="VV97" s="22"/>
      <c r="VW97" s="22"/>
      <c r="VX97" s="22"/>
      <c r="VY97" s="22"/>
      <c r="VZ97" s="22"/>
      <c r="WA97" s="22"/>
      <c r="WB97" s="22"/>
      <c r="WC97" s="22"/>
      <c r="WD97" s="22"/>
      <c r="WE97" s="22"/>
      <c r="WF97" s="22"/>
      <c r="WG97" s="22"/>
      <c r="WH97" s="22"/>
      <c r="WI97" s="22"/>
      <c r="WJ97" s="22"/>
      <c r="WK97" s="22"/>
      <c r="WL97" s="22"/>
      <c r="WM97" s="22"/>
      <c r="WN97" s="22"/>
      <c r="WO97" s="22"/>
      <c r="WP97" s="22"/>
      <c r="WQ97" s="22"/>
      <c r="WR97" s="22"/>
      <c r="WS97" s="22"/>
      <c r="WT97" s="22"/>
      <c r="WU97" s="22"/>
      <c r="WV97" s="22"/>
      <c r="WW97" s="22"/>
      <c r="WX97" s="22"/>
      <c r="WY97" s="22"/>
      <c r="WZ97" s="22"/>
      <c r="XA97" s="22"/>
      <c r="XB97" s="22"/>
      <c r="XC97" s="22"/>
      <c r="XD97" s="22"/>
      <c r="XE97" s="22"/>
      <c r="XF97" s="22"/>
      <c r="XG97" s="22"/>
      <c r="XH97" s="22"/>
      <c r="XI97" s="22"/>
      <c r="XJ97" s="22"/>
      <c r="XK97" s="22"/>
      <c r="XL97" s="22"/>
      <c r="XM97" s="22"/>
      <c r="XN97" s="22"/>
      <c r="XO97" s="22"/>
      <c r="XP97" s="22"/>
      <c r="XQ97" s="22"/>
      <c r="XR97" s="22"/>
      <c r="XS97" s="22"/>
      <c r="XT97" s="22"/>
      <c r="XU97" s="22"/>
      <c r="XV97" s="22"/>
      <c r="XW97" s="22"/>
      <c r="XX97" s="22"/>
      <c r="XY97" s="22"/>
      <c r="XZ97" s="22"/>
      <c r="YA97" s="22"/>
      <c r="YB97" s="22"/>
      <c r="YC97" s="22"/>
      <c r="YD97" s="22"/>
      <c r="YE97" s="22"/>
      <c r="YF97" s="22"/>
      <c r="YG97" s="22"/>
      <c r="YH97" s="22"/>
      <c r="YI97" s="22"/>
      <c r="YJ97" s="22"/>
      <c r="YK97" s="22"/>
      <c r="YL97" s="22"/>
      <c r="YM97" s="22"/>
      <c r="YN97" s="22"/>
      <c r="YO97" s="22"/>
      <c r="YP97" s="22"/>
      <c r="YQ97" s="22"/>
      <c r="YR97" s="22"/>
      <c r="YS97" s="22"/>
      <c r="YT97" s="22"/>
      <c r="YU97" s="22"/>
      <c r="YV97" s="22"/>
      <c r="YW97" s="22"/>
      <c r="YX97" s="22"/>
      <c r="YY97" s="22"/>
      <c r="YZ97" s="22"/>
      <c r="ZA97" s="22"/>
      <c r="ZB97" s="22"/>
      <c r="ZC97" s="22"/>
      <c r="ZD97" s="22"/>
      <c r="ZE97" s="22"/>
      <c r="ZF97" s="22"/>
      <c r="ZG97" s="22"/>
      <c r="ZH97" s="22"/>
      <c r="ZI97" s="22"/>
      <c r="ZJ97" s="22"/>
      <c r="ZK97" s="22"/>
      <c r="ZL97" s="22"/>
      <c r="ZM97" s="22"/>
      <c r="ZN97" s="22"/>
      <c r="ZO97" s="22"/>
      <c r="ZP97" s="22"/>
      <c r="ZQ97" s="22"/>
      <c r="ZR97" s="22"/>
      <c r="ZS97" s="22"/>
      <c r="ZT97" s="22"/>
      <c r="ZU97" s="22"/>
      <c r="ZV97" s="22"/>
      <c r="ZW97" s="22"/>
      <c r="ZX97" s="22"/>
      <c r="ZY97" s="22"/>
      <c r="ZZ97" s="22"/>
      <c r="AAA97" s="22"/>
      <c r="AAB97" s="22"/>
      <c r="AAC97" s="22"/>
      <c r="AAD97" s="22"/>
      <c r="AAE97" s="22"/>
      <c r="AAF97" s="22"/>
      <c r="AAG97" s="22"/>
      <c r="AAH97" s="22"/>
      <c r="AAI97" s="22"/>
      <c r="AAJ97" s="22"/>
      <c r="AAK97" s="22"/>
      <c r="AAL97" s="22"/>
      <c r="AAM97" s="22"/>
      <c r="AAN97" s="22"/>
      <c r="AAO97" s="22"/>
      <c r="AAP97" s="22"/>
      <c r="AAQ97" s="22"/>
      <c r="AAR97" s="22"/>
      <c r="AAS97" s="22"/>
      <c r="AAT97" s="22"/>
      <c r="AAU97" s="22"/>
      <c r="AAV97" s="22"/>
      <c r="AAW97" s="22"/>
      <c r="AAX97" s="22"/>
      <c r="AAY97" s="22"/>
      <c r="AAZ97" s="22"/>
      <c r="ABA97" s="22"/>
      <c r="ABB97" s="22"/>
      <c r="ABC97" s="22"/>
      <c r="ABD97" s="22"/>
      <c r="ABE97" s="22"/>
      <c r="ABF97" s="22"/>
      <c r="ABG97" s="22"/>
      <c r="ABH97" s="22"/>
      <c r="ABI97" s="22"/>
      <c r="ABJ97" s="22"/>
      <c r="ABK97" s="22"/>
      <c r="ABL97" s="22"/>
      <c r="ABM97" s="22"/>
      <c r="ABN97" s="22"/>
      <c r="ABO97" s="22"/>
      <c r="ABP97" s="22"/>
      <c r="ABQ97" s="22"/>
      <c r="ABR97" s="22"/>
      <c r="ABS97" s="22"/>
      <c r="ABT97" s="22"/>
      <c r="ABU97" s="22"/>
      <c r="ABV97" s="22"/>
      <c r="ABW97" s="22"/>
      <c r="ABX97" s="22"/>
      <c r="ABY97" s="22"/>
      <c r="ABZ97" s="22"/>
      <c r="ACA97" s="22"/>
      <c r="ACB97" s="22"/>
      <c r="ACC97" s="22"/>
      <c r="ACD97" s="22"/>
      <c r="ACE97" s="22"/>
      <c r="ACF97" s="22"/>
      <c r="ACG97" s="22"/>
      <c r="ACH97" s="22"/>
      <c r="ACI97" s="22"/>
      <c r="ACJ97" s="22"/>
      <c r="ACK97" s="22"/>
      <c r="ACL97" s="22"/>
      <c r="ACM97" s="22"/>
      <c r="ACN97" s="22"/>
      <c r="ACO97" s="22"/>
      <c r="ACP97" s="22"/>
      <c r="ACQ97" s="22"/>
      <c r="ACR97" s="22"/>
      <c r="ACS97" s="22"/>
      <c r="ACT97" s="22"/>
      <c r="ACU97" s="22"/>
      <c r="ACV97" s="22"/>
      <c r="ACW97" s="22"/>
      <c r="ACX97" s="22"/>
      <c r="ACY97" s="22"/>
      <c r="ACZ97" s="22"/>
      <c r="ADA97" s="22"/>
      <c r="ADB97" s="22"/>
      <c r="ADC97" s="22"/>
      <c r="ADD97" s="22"/>
      <c r="ADE97" s="22"/>
      <c r="ADF97" s="22"/>
      <c r="ADG97" s="22"/>
      <c r="ADH97" s="22"/>
      <c r="ADI97" s="22"/>
      <c r="ADJ97" s="22"/>
      <c r="ADK97" s="22"/>
      <c r="ADL97" s="22"/>
      <c r="ADM97" s="22"/>
      <c r="ADN97" s="22"/>
      <c r="ADO97" s="22"/>
      <c r="ADP97" s="22"/>
      <c r="ADQ97" s="22"/>
      <c r="ADR97" s="22"/>
      <c r="ADS97" s="22"/>
      <c r="ADT97" s="22"/>
      <c r="ADU97" s="22"/>
      <c r="ADV97" s="22"/>
      <c r="ADW97" s="22"/>
      <c r="ADX97" s="22"/>
      <c r="ADY97" s="22"/>
      <c r="ADZ97" s="22"/>
      <c r="AEA97" s="22"/>
      <c r="AEB97" s="22"/>
      <c r="AEC97" s="22"/>
      <c r="AED97" s="22"/>
      <c r="AEE97" s="22"/>
      <c r="AEF97" s="22"/>
      <c r="AEG97" s="22"/>
      <c r="AEH97" s="22"/>
      <c r="AEI97" s="22"/>
      <c r="AEJ97" s="22"/>
      <c r="AEK97" s="22"/>
      <c r="AEL97" s="22"/>
      <c r="AEM97" s="22"/>
      <c r="AEN97" s="22"/>
      <c r="AEO97" s="22"/>
      <c r="AEP97" s="22"/>
      <c r="AEQ97" s="22"/>
      <c r="AER97" s="22"/>
      <c r="AES97" s="22"/>
      <c r="AET97" s="22"/>
      <c r="AEU97" s="22"/>
      <c r="AEV97" s="22"/>
      <c r="AEW97" s="22"/>
      <c r="AEX97" s="22"/>
      <c r="AEY97" s="22"/>
      <c r="AEZ97" s="22"/>
      <c r="AFA97" s="22"/>
      <c r="AFB97" s="22"/>
      <c r="AFC97" s="22"/>
      <c r="AFD97" s="22"/>
      <c r="AFE97" s="22"/>
      <c r="AFF97" s="22"/>
      <c r="AFG97" s="22"/>
      <c r="AFH97" s="22"/>
      <c r="AFI97" s="22"/>
      <c r="AFJ97" s="22"/>
      <c r="AFK97" s="22"/>
      <c r="AFL97" s="22"/>
      <c r="AFM97" s="22"/>
      <c r="AFN97" s="22"/>
      <c r="AFO97" s="22"/>
      <c r="AFP97" s="22"/>
      <c r="AFQ97" s="22"/>
      <c r="AFR97" s="22"/>
      <c r="AFS97" s="22"/>
      <c r="AFT97" s="22"/>
      <c r="AFU97" s="22"/>
      <c r="AFV97" s="22"/>
      <c r="AFW97" s="22"/>
      <c r="AFX97" s="22"/>
      <c r="AFY97" s="22"/>
      <c r="AFZ97" s="22"/>
      <c r="AGA97" s="22"/>
      <c r="AGB97" s="22"/>
      <c r="AGC97" s="22"/>
      <c r="AGD97" s="22"/>
      <c r="AGE97" s="22"/>
      <c r="AGF97" s="22"/>
      <c r="AGG97" s="22"/>
      <c r="AGH97" s="22"/>
      <c r="AGI97" s="22"/>
      <c r="AGJ97" s="22"/>
      <c r="AGK97" s="22"/>
      <c r="AGL97" s="22"/>
      <c r="AGM97" s="22"/>
      <c r="AGN97" s="22"/>
      <c r="AGO97" s="22"/>
      <c r="AGP97" s="22"/>
      <c r="AGQ97" s="22"/>
      <c r="AGR97" s="22"/>
      <c r="AGS97" s="22"/>
      <c r="AGT97" s="22"/>
      <c r="AGU97" s="22"/>
      <c r="AGV97" s="22"/>
      <c r="AGW97" s="22"/>
      <c r="AGX97" s="22"/>
      <c r="AGY97" s="22"/>
      <c r="AGZ97" s="22"/>
      <c r="AHA97" s="22"/>
      <c r="AHB97" s="22"/>
      <c r="AHC97" s="22"/>
      <c r="AHD97" s="22"/>
      <c r="AHE97" s="22"/>
      <c r="AHF97" s="22"/>
      <c r="AHG97" s="22"/>
      <c r="AHH97" s="22"/>
      <c r="AHI97" s="22"/>
      <c r="AHJ97" s="22"/>
      <c r="AHK97" s="22"/>
      <c r="AHL97" s="22"/>
      <c r="AHM97" s="22"/>
      <c r="AHN97" s="22"/>
      <c r="AHO97" s="22"/>
      <c r="AHP97" s="22"/>
      <c r="AHQ97" s="22"/>
      <c r="AHR97" s="22"/>
      <c r="AHS97" s="22"/>
      <c r="AHT97" s="22"/>
      <c r="AHU97" s="22"/>
      <c r="AHV97" s="22"/>
      <c r="AHW97" s="22"/>
      <c r="AHX97" s="22"/>
      <c r="AHY97" s="22"/>
      <c r="AHZ97" s="22"/>
      <c r="AIA97" s="22"/>
      <c r="AIB97" s="22"/>
      <c r="AIC97" s="22"/>
      <c r="AID97" s="22"/>
      <c r="AIE97" s="22"/>
      <c r="AIF97" s="22"/>
      <c r="AIG97" s="22"/>
      <c r="AIH97" s="22"/>
      <c r="AII97" s="22"/>
      <c r="AIJ97" s="22"/>
      <c r="AIK97" s="22"/>
      <c r="AIL97" s="22"/>
      <c r="AIM97" s="22"/>
      <c r="AIN97" s="22"/>
      <c r="AIO97" s="22"/>
      <c r="AIP97" s="22"/>
      <c r="AIQ97" s="22"/>
      <c r="AIR97" s="22"/>
      <c r="AIS97" s="22"/>
      <c r="AIT97" s="22"/>
      <c r="AIU97" s="22"/>
      <c r="AIV97" s="22"/>
      <c r="AIW97" s="22"/>
      <c r="AIX97" s="22"/>
      <c r="AIY97" s="22"/>
      <c r="AIZ97" s="22"/>
      <c r="AJA97" s="22"/>
      <c r="AJB97" s="22"/>
      <c r="AJC97" s="22"/>
      <c r="AJD97" s="22"/>
      <c r="AJE97" s="22"/>
      <c r="AJF97" s="22"/>
      <c r="AJG97" s="22"/>
      <c r="AJH97" s="22"/>
      <c r="AJI97" s="22"/>
      <c r="AJJ97" s="22"/>
      <c r="AJK97" s="22"/>
      <c r="AJL97" s="22"/>
      <c r="AJM97" s="22"/>
      <c r="AJN97" s="22"/>
      <c r="AJO97" s="22"/>
      <c r="AJP97" s="22"/>
      <c r="AJQ97" s="22"/>
      <c r="AJR97" s="22"/>
      <c r="AJS97" s="22"/>
      <c r="AJT97" s="22"/>
      <c r="AJU97" s="22"/>
      <c r="AJV97" s="22"/>
      <c r="AJW97" s="22"/>
      <c r="AJX97" s="22"/>
      <c r="AJY97" s="22"/>
      <c r="AJZ97" s="22"/>
      <c r="AKA97" s="22"/>
      <c r="AKB97" s="22"/>
      <c r="AKC97" s="22"/>
      <c r="AKD97" s="22"/>
      <c r="AKE97" s="22"/>
      <c r="AKF97" s="22"/>
      <c r="AKG97" s="22"/>
      <c r="AKH97" s="22"/>
      <c r="AKI97" s="22"/>
      <c r="AKJ97" s="22"/>
      <c r="AKK97" s="22"/>
      <c r="AKL97" s="22"/>
      <c r="AKM97" s="22"/>
      <c r="AKN97" s="22"/>
      <c r="AKO97" s="22"/>
      <c r="AKP97" s="22"/>
      <c r="AKQ97" s="22"/>
      <c r="AKR97" s="22"/>
      <c r="AKS97" s="22"/>
      <c r="AKT97" s="22"/>
      <c r="AKU97" s="22"/>
      <c r="AKV97" s="22"/>
      <c r="AKW97" s="22"/>
      <c r="AKX97" s="22"/>
      <c r="AKY97" s="22"/>
      <c r="AKZ97" s="22"/>
      <c r="ALA97" s="22"/>
      <c r="ALB97" s="22"/>
      <c r="ALC97" s="22"/>
      <c r="ALD97" s="22"/>
      <c r="ALE97" s="22"/>
      <c r="ALF97" s="22"/>
      <c r="ALG97" s="22"/>
      <c r="ALH97" s="22"/>
      <c r="ALI97" s="22"/>
      <c r="ALJ97" s="22"/>
      <c r="ALK97" s="22"/>
      <c r="ALL97" s="22"/>
      <c r="ALM97" s="22"/>
      <c r="ALN97" s="22"/>
      <c r="ALO97" s="22"/>
      <c r="ALP97" s="22"/>
      <c r="ALQ97" s="22"/>
      <c r="ALR97" s="22"/>
      <c r="ALS97" s="22"/>
      <c r="ALT97" s="22"/>
      <c r="ALU97" s="22"/>
      <c r="ALV97" s="22"/>
      <c r="ALW97" s="22"/>
      <c r="ALX97" s="22"/>
      <c r="ALY97" s="22"/>
      <c r="ALZ97" s="22"/>
      <c r="AMA97" s="22"/>
      <c r="AMB97" s="22"/>
      <c r="AMC97" s="22"/>
      <c r="AMD97" s="22"/>
      <c r="AME97" s="22"/>
      <c r="AMF97" s="22"/>
      <c r="AMG97" s="22"/>
      <c r="AMH97" s="22"/>
      <c r="AMI97" s="22"/>
      <c r="AMJ97" s="22"/>
      <c r="AMK97" s="22"/>
      <c r="AML97" s="22"/>
      <c r="AMM97" s="22"/>
      <c r="AMN97" s="22"/>
      <c r="AMO97" s="22"/>
      <c r="AMP97" s="22"/>
      <c r="AMQ97" s="22"/>
      <c r="AMR97" s="22"/>
      <c r="AMS97" s="22"/>
      <c r="AMT97" s="22"/>
      <c r="AMU97" s="22"/>
      <c r="AMV97" s="22"/>
      <c r="AMW97" s="22"/>
      <c r="AMX97" s="22"/>
      <c r="AMY97" s="22"/>
      <c r="AMZ97" s="22"/>
      <c r="ANA97" s="22"/>
      <c r="ANB97" s="22"/>
      <c r="ANC97" s="22"/>
      <c r="AND97" s="22"/>
      <c r="ANE97" s="22"/>
      <c r="ANF97" s="22"/>
      <c r="ANG97" s="22"/>
      <c r="ANH97" s="22"/>
      <c r="ANI97" s="22"/>
      <c r="ANJ97" s="22"/>
      <c r="ANK97" s="22"/>
      <c r="ANL97" s="22"/>
      <c r="ANM97" s="22"/>
      <c r="ANN97" s="22"/>
      <c r="ANO97" s="22"/>
      <c r="ANP97" s="22"/>
      <c r="ANQ97" s="22"/>
      <c r="ANR97" s="22"/>
      <c r="ANS97" s="22"/>
      <c r="ANT97" s="22"/>
      <c r="ANU97" s="22"/>
      <c r="ANV97" s="22"/>
      <c r="ANW97" s="22"/>
      <c r="ANX97" s="22"/>
      <c r="ANY97" s="22"/>
      <c r="ANZ97" s="22"/>
      <c r="AOA97" s="22"/>
      <c r="AOB97" s="22"/>
      <c r="AOC97" s="22"/>
      <c r="AOD97" s="22"/>
      <c r="AOE97" s="22"/>
      <c r="AOF97" s="22"/>
      <c r="AOG97" s="22"/>
      <c r="AOH97" s="22"/>
      <c r="AOI97" s="22"/>
      <c r="AOJ97" s="22"/>
      <c r="AOK97" s="22"/>
      <c r="AOL97" s="22"/>
      <c r="AOM97" s="22"/>
      <c r="AON97" s="22"/>
      <c r="AOO97" s="22"/>
      <c r="AOP97" s="22"/>
      <c r="AOQ97" s="22"/>
      <c r="AOR97" s="22"/>
      <c r="AOS97" s="22"/>
      <c r="AOT97" s="22"/>
      <c r="AOU97" s="22"/>
      <c r="AOV97" s="22"/>
      <c r="AOW97" s="22"/>
      <c r="AOX97" s="22"/>
      <c r="AOY97" s="22"/>
      <c r="AOZ97" s="22"/>
      <c r="APA97" s="22"/>
      <c r="APB97" s="22"/>
      <c r="APC97" s="22"/>
      <c r="APD97" s="22"/>
      <c r="APE97" s="22"/>
      <c r="APF97" s="22"/>
      <c r="APG97" s="22"/>
      <c r="APH97" s="22"/>
      <c r="API97" s="22"/>
      <c r="APJ97" s="22"/>
      <c r="APK97" s="22"/>
      <c r="APL97" s="22"/>
      <c r="APM97" s="22"/>
      <c r="APN97" s="22"/>
      <c r="APO97" s="22"/>
      <c r="APP97" s="22"/>
      <c r="APQ97" s="22"/>
      <c r="APR97" s="22"/>
      <c r="APS97" s="22"/>
      <c r="APT97" s="22"/>
      <c r="APU97" s="22"/>
      <c r="APV97" s="22"/>
      <c r="APW97" s="22"/>
      <c r="APX97" s="22"/>
      <c r="APY97" s="22"/>
      <c r="APZ97" s="22"/>
      <c r="AQA97" s="22"/>
      <c r="AQB97" s="22"/>
      <c r="AQC97" s="22"/>
      <c r="AQD97" s="22"/>
      <c r="AQE97" s="22"/>
      <c r="AQF97" s="22"/>
      <c r="AQG97" s="22"/>
      <c r="AQH97" s="22"/>
      <c r="AQI97" s="22"/>
      <c r="AQJ97" s="22"/>
      <c r="AQK97" s="22"/>
      <c r="AQL97" s="22"/>
      <c r="AQM97" s="22"/>
      <c r="AQN97" s="22"/>
      <c r="AQO97" s="22"/>
      <c r="AQP97" s="22"/>
      <c r="AQQ97" s="22"/>
      <c r="AQR97" s="22"/>
      <c r="AQS97" s="22"/>
      <c r="AQT97" s="22"/>
      <c r="AQU97" s="22"/>
      <c r="AQV97" s="22"/>
      <c r="AQW97" s="22"/>
      <c r="AQX97" s="22"/>
      <c r="AQY97" s="22"/>
      <c r="AQZ97" s="22"/>
      <c r="ARA97" s="22"/>
      <c r="ARB97" s="22"/>
      <c r="ARC97" s="22"/>
      <c r="ARD97" s="22"/>
      <c r="ARE97" s="22"/>
      <c r="ARF97" s="22"/>
      <c r="ARG97" s="22"/>
      <c r="ARH97" s="22"/>
      <c r="ARI97" s="22"/>
      <c r="ARJ97" s="22"/>
      <c r="ARK97" s="22"/>
      <c r="ARL97" s="22"/>
      <c r="ARM97" s="22"/>
      <c r="ARN97" s="22"/>
      <c r="ARO97" s="22"/>
      <c r="ARP97" s="22"/>
      <c r="ARQ97" s="22"/>
      <c r="ARR97" s="22"/>
      <c r="ARS97" s="22"/>
      <c r="ART97" s="22"/>
      <c r="ARU97" s="22"/>
      <c r="ARV97" s="22"/>
      <c r="ARW97" s="22"/>
      <c r="ARX97" s="22"/>
      <c r="ARY97" s="22"/>
      <c r="ARZ97" s="22"/>
      <c r="ASA97" s="22"/>
      <c r="ASB97" s="22"/>
      <c r="ASC97" s="22"/>
      <c r="ASD97" s="22"/>
      <c r="ASE97" s="22"/>
      <c r="ASF97" s="22"/>
      <c r="ASG97" s="22"/>
      <c r="ASH97" s="22"/>
      <c r="ASI97" s="22"/>
      <c r="ASJ97" s="22"/>
      <c r="ASK97" s="22"/>
      <c r="ASL97" s="22"/>
      <c r="ASM97" s="22"/>
      <c r="ASN97" s="22"/>
      <c r="ASO97" s="22"/>
      <c r="ASP97" s="22"/>
      <c r="ASQ97" s="22"/>
      <c r="ASR97" s="22"/>
      <c r="ASS97" s="22"/>
      <c r="AST97" s="22"/>
      <c r="ASU97" s="22"/>
      <c r="ASV97" s="22"/>
      <c r="ASW97" s="22"/>
      <c r="ASX97" s="22"/>
      <c r="ASY97" s="22"/>
      <c r="ASZ97" s="22"/>
      <c r="ATA97" s="22"/>
      <c r="ATB97" s="22"/>
      <c r="ATC97" s="22"/>
      <c r="ATD97" s="22"/>
      <c r="ATE97" s="22"/>
      <c r="ATF97" s="22"/>
      <c r="ATG97" s="22"/>
      <c r="ATH97" s="22"/>
      <c r="ATI97" s="22"/>
      <c r="ATJ97" s="22"/>
      <c r="ATK97" s="22"/>
      <c r="ATL97" s="22"/>
      <c r="ATM97" s="22"/>
      <c r="ATN97" s="22"/>
      <c r="ATO97" s="22"/>
      <c r="ATP97" s="22"/>
      <c r="ATQ97" s="22"/>
      <c r="ATR97" s="22"/>
      <c r="ATS97" s="22"/>
      <c r="ATT97" s="22"/>
      <c r="ATU97" s="22"/>
      <c r="ATV97" s="22"/>
      <c r="ATW97" s="22"/>
      <c r="ATX97" s="22"/>
      <c r="ATY97" s="22"/>
      <c r="ATZ97" s="22"/>
      <c r="AUA97" s="22"/>
      <c r="AUB97" s="22"/>
      <c r="AUC97" s="22"/>
      <c r="AUD97" s="22"/>
      <c r="AUE97" s="22"/>
      <c r="AUF97" s="22"/>
      <c r="AUG97" s="22"/>
      <c r="AUH97" s="22"/>
      <c r="AUI97" s="22"/>
      <c r="AUJ97" s="22"/>
      <c r="AUK97" s="22"/>
      <c r="AUL97" s="22"/>
      <c r="AUM97" s="22"/>
      <c r="AUN97" s="22"/>
      <c r="AUO97" s="22"/>
      <c r="AUP97" s="22"/>
      <c r="AUQ97" s="22"/>
      <c r="AUR97" s="22"/>
      <c r="AUS97" s="22"/>
      <c r="AUT97" s="22"/>
      <c r="AUU97" s="22"/>
      <c r="AUV97" s="22"/>
      <c r="AUW97" s="22"/>
      <c r="AUX97" s="22"/>
      <c r="AUY97" s="22"/>
      <c r="AUZ97" s="22"/>
      <c r="AVA97" s="22"/>
      <c r="AVB97" s="22"/>
      <c r="AVC97" s="22"/>
      <c r="AVD97" s="22"/>
      <c r="AVE97" s="22"/>
      <c r="AVF97" s="22"/>
      <c r="AVG97" s="22"/>
      <c r="AVH97" s="22"/>
      <c r="AVI97" s="22"/>
      <c r="AVJ97" s="22"/>
      <c r="AVK97" s="22"/>
      <c r="AVL97" s="22"/>
      <c r="AVM97" s="22"/>
      <c r="AVN97" s="22"/>
      <c r="AVO97" s="22"/>
      <c r="AVP97" s="22"/>
      <c r="AVQ97" s="22"/>
      <c r="AVR97" s="22"/>
      <c r="AVS97" s="22"/>
      <c r="AVT97" s="22"/>
      <c r="AVU97" s="22"/>
      <c r="AVV97" s="22"/>
      <c r="AVW97" s="22"/>
      <c r="AVX97" s="22"/>
      <c r="AVY97" s="22"/>
      <c r="AVZ97" s="22"/>
      <c r="AWA97" s="22"/>
      <c r="AWB97" s="22"/>
      <c r="AWC97" s="22"/>
      <c r="AWD97" s="22"/>
      <c r="AWE97" s="22"/>
      <c r="AWF97" s="22"/>
      <c r="AWG97" s="22"/>
      <c r="AWH97" s="22"/>
      <c r="AWI97" s="22"/>
      <c r="AWJ97" s="22"/>
      <c r="AWK97" s="22"/>
      <c r="AWL97" s="22"/>
      <c r="AWM97" s="22"/>
      <c r="AWN97" s="22"/>
      <c r="AWO97" s="22"/>
      <c r="AWP97" s="22"/>
      <c r="AWQ97" s="22"/>
      <c r="AWR97" s="22"/>
      <c r="AWS97" s="22"/>
      <c r="AWT97" s="22"/>
      <c r="AWU97" s="22"/>
      <c r="AWV97" s="22"/>
      <c r="AWW97" s="22"/>
      <c r="AWX97" s="22"/>
      <c r="AWY97" s="22"/>
      <c r="AWZ97" s="22"/>
      <c r="AXA97" s="22"/>
      <c r="AXB97" s="22"/>
      <c r="AXC97" s="22"/>
      <c r="AXD97" s="22"/>
      <c r="AXE97" s="22"/>
      <c r="AXF97" s="22"/>
      <c r="AXG97" s="22"/>
      <c r="AXH97" s="22"/>
      <c r="AXI97" s="22"/>
      <c r="AXJ97" s="22"/>
      <c r="AXK97" s="22"/>
      <c r="AXL97" s="22"/>
      <c r="AXM97" s="22"/>
      <c r="AXN97" s="22"/>
      <c r="AXO97" s="22"/>
      <c r="AXP97" s="22"/>
      <c r="AXQ97" s="22"/>
      <c r="AXR97" s="22"/>
      <c r="AXS97" s="22"/>
      <c r="AXT97" s="22"/>
      <c r="AXU97" s="22"/>
      <c r="AXV97" s="22"/>
      <c r="AXW97" s="22"/>
      <c r="AXX97" s="22"/>
      <c r="AXY97" s="22"/>
      <c r="AXZ97" s="22"/>
      <c r="AYA97" s="22"/>
      <c r="AYB97" s="22"/>
      <c r="AYC97" s="22"/>
      <c r="AYD97" s="22"/>
      <c r="AYE97" s="22"/>
      <c r="AYF97" s="22"/>
      <c r="AYG97" s="22"/>
      <c r="AYH97" s="22"/>
      <c r="AYI97" s="22"/>
      <c r="AYJ97" s="22"/>
      <c r="AYK97" s="22"/>
      <c r="AYL97" s="22"/>
      <c r="AYM97" s="22"/>
      <c r="AYN97" s="22"/>
      <c r="AYO97" s="22"/>
      <c r="AYP97" s="22"/>
      <c r="AYQ97" s="22"/>
      <c r="AYR97" s="22"/>
      <c r="AYS97" s="22"/>
      <c r="AYT97" s="22"/>
      <c r="AYU97" s="22"/>
      <c r="AYV97" s="22"/>
      <c r="AYW97" s="22"/>
      <c r="AYX97" s="22"/>
      <c r="AYY97" s="22"/>
      <c r="AYZ97" s="22"/>
      <c r="AZA97" s="22"/>
      <c r="AZB97" s="22"/>
      <c r="AZC97" s="22"/>
      <c r="AZD97" s="22"/>
      <c r="AZE97" s="22"/>
      <c r="AZF97" s="22"/>
      <c r="AZG97" s="22"/>
      <c r="AZH97" s="22"/>
      <c r="AZI97" s="22"/>
      <c r="AZJ97" s="22"/>
      <c r="AZK97" s="22"/>
      <c r="AZL97" s="22"/>
      <c r="AZM97" s="22"/>
      <c r="AZN97" s="22"/>
      <c r="AZO97" s="22"/>
      <c r="AZP97" s="22"/>
      <c r="AZQ97" s="22"/>
      <c r="AZR97" s="22"/>
      <c r="AZS97" s="22"/>
      <c r="AZT97" s="22"/>
      <c r="AZU97" s="22"/>
      <c r="AZV97" s="22"/>
      <c r="AZW97" s="22"/>
      <c r="AZX97" s="22"/>
      <c r="AZY97" s="22"/>
      <c r="AZZ97" s="22"/>
      <c r="BAA97" s="22"/>
      <c r="BAB97" s="22"/>
      <c r="BAC97" s="22"/>
      <c r="BAD97" s="22"/>
      <c r="BAE97" s="22"/>
      <c r="BAF97" s="22"/>
      <c r="BAG97" s="22"/>
      <c r="BAH97" s="22"/>
      <c r="BAI97" s="22"/>
      <c r="BAJ97" s="22"/>
      <c r="BAK97" s="22"/>
      <c r="BAL97" s="22"/>
      <c r="BAM97" s="22"/>
      <c r="BAN97" s="22"/>
      <c r="BAO97" s="22"/>
      <c r="BAP97" s="22"/>
      <c r="BAQ97" s="22"/>
      <c r="BAR97" s="22"/>
      <c r="BAS97" s="22"/>
      <c r="BAT97" s="22"/>
      <c r="BAU97" s="22"/>
      <c r="BAV97" s="22"/>
      <c r="BAW97" s="22"/>
      <c r="BAX97" s="22"/>
      <c r="BAY97" s="22"/>
      <c r="BAZ97" s="22"/>
      <c r="BBA97" s="22"/>
      <c r="BBB97" s="22"/>
      <c r="BBC97" s="22"/>
      <c r="BBD97" s="22"/>
      <c r="BBE97" s="22"/>
      <c r="BBF97" s="22"/>
      <c r="BBG97" s="22"/>
      <c r="BBH97" s="22"/>
      <c r="BBI97" s="22"/>
      <c r="BBJ97" s="22"/>
      <c r="BBK97" s="22"/>
      <c r="BBL97" s="22"/>
      <c r="BBM97" s="22"/>
      <c r="BBN97" s="22"/>
      <c r="BBO97" s="22"/>
      <c r="BBP97" s="22"/>
      <c r="BBQ97" s="22"/>
      <c r="BBR97" s="22"/>
      <c r="BBS97" s="22"/>
      <c r="BBT97" s="22"/>
      <c r="BBU97" s="22"/>
      <c r="BBV97" s="22"/>
      <c r="BBW97" s="22"/>
      <c r="BBX97" s="22"/>
      <c r="BBY97" s="22"/>
      <c r="BBZ97" s="22"/>
      <c r="BCA97" s="22"/>
      <c r="BCB97" s="22"/>
      <c r="BCC97" s="22"/>
      <c r="BCD97" s="22"/>
      <c r="BCE97" s="22"/>
      <c r="BCF97" s="22"/>
      <c r="BCG97" s="22"/>
      <c r="BCH97" s="22"/>
      <c r="BCI97" s="22"/>
      <c r="BCJ97" s="22"/>
      <c r="BCK97" s="22"/>
      <c r="BCL97" s="22"/>
      <c r="BCM97" s="22"/>
      <c r="BCN97" s="22"/>
      <c r="BCO97" s="22"/>
      <c r="BCP97" s="22"/>
      <c r="BCQ97" s="22"/>
      <c r="BCR97" s="22"/>
      <c r="BCS97" s="22"/>
      <c r="BCT97" s="22"/>
      <c r="BCU97" s="22"/>
      <c r="BCV97" s="22"/>
      <c r="BCW97" s="22"/>
      <c r="BCX97" s="22"/>
      <c r="BCY97" s="22"/>
      <c r="BCZ97" s="22"/>
      <c r="BDA97" s="22"/>
      <c r="BDB97" s="22"/>
      <c r="BDC97" s="22"/>
      <c r="BDD97" s="22"/>
      <c r="BDE97" s="22"/>
      <c r="BDF97" s="22"/>
      <c r="BDG97" s="22"/>
      <c r="BDH97" s="22"/>
      <c r="BDI97" s="22"/>
      <c r="BDJ97" s="22"/>
      <c r="BDK97" s="22"/>
      <c r="BDL97" s="22"/>
      <c r="BDM97" s="22"/>
      <c r="BDN97" s="22"/>
      <c r="BDO97" s="22"/>
      <c r="BDP97" s="22"/>
      <c r="BDQ97" s="22"/>
      <c r="BDR97" s="22"/>
      <c r="BDS97" s="22"/>
      <c r="BDT97" s="22"/>
      <c r="BDU97" s="22"/>
      <c r="BDV97" s="22"/>
      <c r="BDW97" s="22"/>
      <c r="BDX97" s="22"/>
      <c r="BDY97" s="22"/>
      <c r="BDZ97" s="22"/>
      <c r="BEA97" s="22"/>
      <c r="BEB97" s="22"/>
      <c r="BEC97" s="22"/>
      <c r="BED97" s="22"/>
      <c r="BEE97" s="22"/>
      <c r="BEF97" s="22"/>
      <c r="BEG97" s="22"/>
      <c r="BEH97" s="22"/>
      <c r="BEI97" s="22"/>
      <c r="BEJ97" s="22"/>
      <c r="BEK97" s="22"/>
      <c r="BEL97" s="22"/>
      <c r="BEM97" s="22"/>
      <c r="BEN97" s="22"/>
      <c r="BEO97" s="22"/>
      <c r="BEP97" s="22"/>
      <c r="BEQ97" s="22"/>
      <c r="BER97" s="22"/>
      <c r="BES97" s="22"/>
      <c r="BET97" s="22"/>
      <c r="BEU97" s="22"/>
      <c r="BEV97" s="22"/>
      <c r="BEW97" s="22"/>
      <c r="BEX97" s="22"/>
      <c r="BEY97" s="22"/>
      <c r="BEZ97" s="22"/>
      <c r="BFA97" s="22"/>
      <c r="BFB97" s="22"/>
      <c r="BFC97" s="22"/>
      <c r="BFD97" s="22"/>
      <c r="BFE97" s="22"/>
      <c r="BFF97" s="22"/>
      <c r="BFG97" s="22"/>
      <c r="BFH97" s="22"/>
      <c r="BFI97" s="22"/>
      <c r="BFJ97" s="22"/>
      <c r="BFK97" s="22"/>
      <c r="BFL97" s="22"/>
      <c r="BFM97" s="22"/>
      <c r="BFN97" s="22"/>
      <c r="BFO97" s="22"/>
      <c r="BFP97" s="22"/>
      <c r="BFQ97" s="22"/>
      <c r="BFR97" s="22"/>
      <c r="BFS97" s="22"/>
      <c r="BFT97" s="22"/>
      <c r="BFU97" s="22"/>
      <c r="BFV97" s="22"/>
      <c r="BFW97" s="22"/>
    </row>
    <row r="98" spans="1:1531" s="208" customFormat="1" ht="46.15" customHeight="1" x14ac:dyDescent="0.2">
      <c r="A98" s="305" t="s">
        <v>528</v>
      </c>
      <c r="B98" s="286"/>
      <c r="C98" s="122" t="s">
        <v>558</v>
      </c>
      <c r="D98" s="286"/>
      <c r="E98" s="286" t="s">
        <v>841</v>
      </c>
      <c r="F98" s="286"/>
      <c r="G98" s="286" t="s">
        <v>536</v>
      </c>
      <c r="H98" s="174"/>
      <c r="I98" s="281">
        <v>650</v>
      </c>
      <c r="J98" s="176"/>
      <c r="K98" s="122" t="s">
        <v>117</v>
      </c>
      <c r="L98" s="176"/>
      <c r="M98" s="176"/>
      <c r="N98" s="176"/>
      <c r="O98" s="176">
        <v>2016</v>
      </c>
      <c r="P98" s="162" t="s">
        <v>750</v>
      </c>
      <c r="Q98" s="176"/>
      <c r="R98" s="176"/>
      <c r="S98" s="282"/>
      <c r="T98" s="176"/>
      <c r="U98" s="176"/>
      <c r="V98" s="176"/>
      <c r="W98" s="176"/>
      <c r="X98" s="176"/>
      <c r="Y98" s="283"/>
      <c r="Z98" s="176"/>
      <c r="AA98" s="282"/>
      <c r="AB98" s="176"/>
      <c r="AC98" s="176"/>
      <c r="AD98" s="176"/>
      <c r="AE98" s="176"/>
      <c r="AF98" s="176"/>
      <c r="AG98" s="176"/>
      <c r="AH98" s="176"/>
      <c r="AI98" s="176"/>
      <c r="AJ98" s="176"/>
      <c r="AK98" s="176"/>
      <c r="AL98" s="176">
        <v>2</v>
      </c>
      <c r="AM98" s="176"/>
      <c r="AN98" s="284">
        <v>1300</v>
      </c>
      <c r="AU98" s="285"/>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c r="IY98" s="22"/>
      <c r="IZ98" s="22"/>
      <c r="JA98" s="22"/>
      <c r="JB98" s="22"/>
      <c r="JC98" s="22"/>
      <c r="JD98" s="22"/>
      <c r="JE98" s="22"/>
      <c r="JF98" s="22"/>
      <c r="JG98" s="22"/>
      <c r="JH98" s="22"/>
      <c r="JI98" s="22"/>
      <c r="JJ98" s="22"/>
      <c r="JK98" s="22"/>
      <c r="JL98" s="22"/>
      <c r="JM98" s="22"/>
      <c r="JN98" s="22"/>
      <c r="JO98" s="22"/>
      <c r="JP98" s="22"/>
      <c r="JQ98" s="22"/>
      <c r="JR98" s="22"/>
      <c r="JS98" s="22"/>
      <c r="JT98" s="22"/>
      <c r="JU98" s="22"/>
      <c r="JV98" s="22"/>
      <c r="JW98" s="22"/>
      <c r="JX98" s="22"/>
      <c r="JY98" s="22"/>
      <c r="JZ98" s="22"/>
      <c r="KA98" s="22"/>
      <c r="KB98" s="22"/>
      <c r="KC98" s="22"/>
      <c r="KD98" s="22"/>
      <c r="KE98" s="22"/>
      <c r="KF98" s="22"/>
      <c r="KG98" s="22"/>
      <c r="KH98" s="22"/>
      <c r="KI98" s="22"/>
      <c r="KJ98" s="22"/>
      <c r="KK98" s="22"/>
      <c r="KL98" s="22"/>
      <c r="KM98" s="22"/>
      <c r="KN98" s="22"/>
      <c r="KO98" s="22"/>
      <c r="KP98" s="22"/>
      <c r="KQ98" s="22"/>
      <c r="KR98" s="22"/>
      <c r="KS98" s="22"/>
      <c r="KT98" s="22"/>
      <c r="KU98" s="22"/>
      <c r="KV98" s="22"/>
      <c r="KW98" s="22"/>
      <c r="KX98" s="22"/>
      <c r="KY98" s="22"/>
      <c r="KZ98" s="22"/>
      <c r="LA98" s="22"/>
      <c r="LB98" s="22"/>
      <c r="LC98" s="22"/>
      <c r="LD98" s="22"/>
      <c r="LE98" s="22"/>
      <c r="LF98" s="22"/>
      <c r="LG98" s="22"/>
      <c r="LH98" s="22"/>
      <c r="LI98" s="22"/>
      <c r="LJ98" s="22"/>
      <c r="LK98" s="22"/>
      <c r="LL98" s="22"/>
      <c r="LM98" s="22"/>
      <c r="LN98" s="22"/>
      <c r="LO98" s="22"/>
      <c r="LP98" s="22"/>
      <c r="LQ98" s="22"/>
      <c r="LR98" s="22"/>
      <c r="LS98" s="22"/>
      <c r="LT98" s="22"/>
      <c r="LU98" s="22"/>
      <c r="LV98" s="22"/>
      <c r="LW98" s="22"/>
      <c r="LX98" s="22"/>
      <c r="LY98" s="22"/>
      <c r="LZ98" s="22"/>
      <c r="MA98" s="22"/>
      <c r="MB98" s="22"/>
      <c r="MC98" s="22"/>
      <c r="MD98" s="22"/>
      <c r="ME98" s="22"/>
      <c r="MF98" s="22"/>
      <c r="MG98" s="22"/>
      <c r="MH98" s="22"/>
      <c r="MI98" s="22"/>
      <c r="MJ98" s="22"/>
      <c r="MK98" s="22"/>
      <c r="ML98" s="22"/>
      <c r="MM98" s="22"/>
      <c r="MN98" s="22"/>
      <c r="MO98" s="22"/>
      <c r="MP98" s="22"/>
      <c r="MQ98" s="22"/>
      <c r="MR98" s="22"/>
      <c r="MS98" s="22"/>
      <c r="MT98" s="22"/>
      <c r="MU98" s="22"/>
      <c r="MV98" s="22"/>
      <c r="MW98" s="22"/>
      <c r="MX98" s="22"/>
      <c r="MY98" s="22"/>
      <c r="MZ98" s="22"/>
      <c r="NA98" s="22"/>
      <c r="NB98" s="22"/>
      <c r="NC98" s="22"/>
      <c r="ND98" s="22"/>
      <c r="NE98" s="22"/>
      <c r="NF98" s="22"/>
      <c r="NG98" s="22"/>
      <c r="NH98" s="22"/>
      <c r="NI98" s="22"/>
      <c r="NJ98" s="22"/>
      <c r="NK98" s="22"/>
      <c r="NL98" s="22"/>
      <c r="NM98" s="22"/>
      <c r="NN98" s="22"/>
      <c r="NO98" s="22"/>
      <c r="NP98" s="22"/>
      <c r="NQ98" s="22"/>
      <c r="NR98" s="22"/>
      <c r="NS98" s="22"/>
      <c r="NT98" s="22"/>
      <c r="NU98" s="22"/>
      <c r="NV98" s="22"/>
      <c r="NW98" s="22"/>
      <c r="NX98" s="22"/>
      <c r="NY98" s="22"/>
      <c r="NZ98" s="22"/>
      <c r="OA98" s="22"/>
      <c r="OB98" s="22"/>
      <c r="OC98" s="22"/>
      <c r="OD98" s="22"/>
      <c r="OE98" s="22"/>
      <c r="OF98" s="22"/>
      <c r="OG98" s="22"/>
      <c r="OH98" s="22"/>
      <c r="OI98" s="22"/>
      <c r="OJ98" s="22"/>
      <c r="OK98" s="22"/>
      <c r="OL98" s="22"/>
      <c r="OM98" s="22"/>
      <c r="ON98" s="22"/>
      <c r="OO98" s="22"/>
      <c r="OP98" s="22"/>
      <c r="OQ98" s="22"/>
      <c r="OR98" s="22"/>
      <c r="OS98" s="22"/>
      <c r="OT98" s="22"/>
      <c r="OU98" s="22"/>
      <c r="OV98" s="22"/>
      <c r="OW98" s="22"/>
      <c r="OX98" s="22"/>
      <c r="OY98" s="22"/>
      <c r="OZ98" s="22"/>
      <c r="PA98" s="22"/>
      <c r="PB98" s="22"/>
      <c r="PC98" s="22"/>
      <c r="PD98" s="22"/>
      <c r="PE98" s="22"/>
      <c r="PF98" s="22"/>
      <c r="PG98" s="22"/>
      <c r="PH98" s="22"/>
      <c r="PI98" s="22"/>
      <c r="PJ98" s="22"/>
      <c r="PK98" s="22"/>
      <c r="PL98" s="22"/>
      <c r="PM98" s="22"/>
      <c r="PN98" s="22"/>
      <c r="PO98" s="22"/>
      <c r="PP98" s="22"/>
      <c r="PQ98" s="22"/>
      <c r="PR98" s="22"/>
      <c r="PS98" s="22"/>
      <c r="PT98" s="22"/>
      <c r="PU98" s="22"/>
      <c r="PV98" s="22"/>
      <c r="PW98" s="22"/>
      <c r="PX98" s="22"/>
      <c r="PY98" s="22"/>
      <c r="PZ98" s="22"/>
      <c r="QA98" s="22"/>
      <c r="QB98" s="22"/>
      <c r="QC98" s="22"/>
      <c r="QD98" s="22"/>
      <c r="QE98" s="22"/>
      <c r="QF98" s="22"/>
      <c r="QG98" s="22"/>
      <c r="QH98" s="22"/>
      <c r="QI98" s="22"/>
      <c r="QJ98" s="22"/>
      <c r="QK98" s="22"/>
      <c r="QL98" s="22"/>
      <c r="QM98" s="22"/>
      <c r="QN98" s="22"/>
      <c r="QO98" s="22"/>
      <c r="QP98" s="22"/>
      <c r="QQ98" s="22"/>
      <c r="QR98" s="22"/>
      <c r="QS98" s="22"/>
      <c r="QT98" s="22"/>
      <c r="QU98" s="22"/>
      <c r="QV98" s="22"/>
      <c r="QW98" s="22"/>
      <c r="QX98" s="22"/>
      <c r="QY98" s="22"/>
      <c r="QZ98" s="22"/>
      <c r="RA98" s="22"/>
      <c r="RB98" s="22"/>
      <c r="RC98" s="22"/>
      <c r="RD98" s="22"/>
      <c r="RE98" s="22"/>
      <c r="RF98" s="22"/>
      <c r="RG98" s="22"/>
      <c r="RH98" s="22"/>
      <c r="RI98" s="22"/>
      <c r="RJ98" s="22"/>
      <c r="RK98" s="22"/>
      <c r="RL98" s="22"/>
      <c r="RM98" s="22"/>
      <c r="RN98" s="22"/>
      <c r="RO98" s="22"/>
      <c r="RP98" s="22"/>
      <c r="RQ98" s="22"/>
      <c r="RR98" s="22"/>
      <c r="RS98" s="22"/>
      <c r="RT98" s="22"/>
      <c r="RU98" s="22"/>
      <c r="RV98" s="22"/>
      <c r="RW98" s="22"/>
      <c r="RX98" s="22"/>
      <c r="RY98" s="22"/>
      <c r="RZ98" s="22"/>
      <c r="SA98" s="22"/>
      <c r="SB98" s="22"/>
      <c r="SC98" s="22"/>
      <c r="SD98" s="22"/>
      <c r="SE98" s="22"/>
      <c r="SF98" s="22"/>
      <c r="SG98" s="22"/>
      <c r="SH98" s="22"/>
      <c r="SI98" s="22"/>
      <c r="SJ98" s="22"/>
      <c r="SK98" s="22"/>
      <c r="SL98" s="22"/>
      <c r="SM98" s="22"/>
      <c r="SN98" s="22"/>
      <c r="SO98" s="22"/>
      <c r="SP98" s="22"/>
      <c r="SQ98" s="22"/>
      <c r="SR98" s="22"/>
      <c r="SS98" s="22"/>
      <c r="ST98" s="22"/>
      <c r="SU98" s="22"/>
      <c r="SV98" s="22"/>
      <c r="SW98" s="22"/>
      <c r="SX98" s="22"/>
      <c r="SY98" s="22"/>
      <c r="SZ98" s="22"/>
      <c r="TA98" s="22"/>
      <c r="TB98" s="22"/>
      <c r="TC98" s="22"/>
      <c r="TD98" s="22"/>
      <c r="TE98" s="22"/>
      <c r="TF98" s="22"/>
      <c r="TG98" s="22"/>
      <c r="TH98" s="22"/>
      <c r="TI98" s="22"/>
      <c r="TJ98" s="22"/>
      <c r="TK98" s="22"/>
      <c r="TL98" s="22"/>
      <c r="TM98" s="22"/>
      <c r="TN98" s="22"/>
      <c r="TO98" s="22"/>
      <c r="TP98" s="22"/>
      <c r="TQ98" s="22"/>
      <c r="TR98" s="22"/>
      <c r="TS98" s="22"/>
      <c r="TT98" s="22"/>
      <c r="TU98" s="22"/>
      <c r="TV98" s="22"/>
      <c r="TW98" s="22"/>
      <c r="TX98" s="22"/>
      <c r="TY98" s="22"/>
      <c r="TZ98" s="22"/>
      <c r="UA98" s="22"/>
      <c r="UB98" s="22"/>
      <c r="UC98" s="22"/>
      <c r="UD98" s="22"/>
      <c r="UE98" s="22"/>
      <c r="UF98" s="22"/>
      <c r="UG98" s="22"/>
      <c r="UH98" s="22"/>
      <c r="UI98" s="22"/>
      <c r="UJ98" s="22"/>
      <c r="UK98" s="22"/>
      <c r="UL98" s="22"/>
      <c r="UM98" s="22"/>
      <c r="UN98" s="22"/>
      <c r="UO98" s="22"/>
      <c r="UP98" s="22"/>
      <c r="UQ98" s="22"/>
      <c r="UR98" s="22"/>
      <c r="US98" s="22"/>
      <c r="UT98" s="22"/>
      <c r="UU98" s="22"/>
      <c r="UV98" s="22"/>
      <c r="UW98" s="22"/>
      <c r="UX98" s="22"/>
      <c r="UY98" s="22"/>
      <c r="UZ98" s="22"/>
      <c r="VA98" s="22"/>
      <c r="VB98" s="22"/>
      <c r="VC98" s="22"/>
      <c r="VD98" s="22"/>
      <c r="VE98" s="22"/>
      <c r="VF98" s="22"/>
      <c r="VG98" s="22"/>
      <c r="VH98" s="22"/>
      <c r="VI98" s="22"/>
      <c r="VJ98" s="22"/>
      <c r="VK98" s="22"/>
      <c r="VL98" s="22"/>
      <c r="VM98" s="22"/>
      <c r="VN98" s="22"/>
      <c r="VO98" s="22"/>
      <c r="VP98" s="22"/>
      <c r="VQ98" s="22"/>
      <c r="VR98" s="22"/>
      <c r="VS98" s="22"/>
      <c r="VT98" s="22"/>
      <c r="VU98" s="22"/>
      <c r="VV98" s="22"/>
      <c r="VW98" s="22"/>
      <c r="VX98" s="22"/>
      <c r="VY98" s="22"/>
      <c r="VZ98" s="22"/>
      <c r="WA98" s="22"/>
      <c r="WB98" s="22"/>
      <c r="WC98" s="22"/>
      <c r="WD98" s="22"/>
      <c r="WE98" s="22"/>
      <c r="WF98" s="22"/>
      <c r="WG98" s="22"/>
      <c r="WH98" s="22"/>
      <c r="WI98" s="22"/>
      <c r="WJ98" s="22"/>
      <c r="WK98" s="22"/>
      <c r="WL98" s="22"/>
      <c r="WM98" s="22"/>
      <c r="WN98" s="22"/>
      <c r="WO98" s="22"/>
      <c r="WP98" s="22"/>
      <c r="WQ98" s="22"/>
      <c r="WR98" s="22"/>
      <c r="WS98" s="22"/>
      <c r="WT98" s="22"/>
      <c r="WU98" s="22"/>
      <c r="WV98" s="22"/>
      <c r="WW98" s="22"/>
      <c r="WX98" s="22"/>
      <c r="WY98" s="22"/>
      <c r="WZ98" s="22"/>
      <c r="XA98" s="22"/>
      <c r="XB98" s="22"/>
      <c r="XC98" s="22"/>
      <c r="XD98" s="22"/>
      <c r="XE98" s="22"/>
      <c r="XF98" s="22"/>
      <c r="XG98" s="22"/>
      <c r="XH98" s="22"/>
      <c r="XI98" s="22"/>
      <c r="XJ98" s="22"/>
      <c r="XK98" s="22"/>
      <c r="XL98" s="22"/>
      <c r="XM98" s="22"/>
      <c r="XN98" s="22"/>
      <c r="XO98" s="22"/>
      <c r="XP98" s="22"/>
      <c r="XQ98" s="22"/>
      <c r="XR98" s="22"/>
      <c r="XS98" s="22"/>
      <c r="XT98" s="22"/>
      <c r="XU98" s="22"/>
      <c r="XV98" s="22"/>
      <c r="XW98" s="22"/>
      <c r="XX98" s="22"/>
      <c r="XY98" s="22"/>
      <c r="XZ98" s="22"/>
      <c r="YA98" s="22"/>
      <c r="YB98" s="22"/>
      <c r="YC98" s="22"/>
      <c r="YD98" s="22"/>
      <c r="YE98" s="22"/>
      <c r="YF98" s="22"/>
      <c r="YG98" s="22"/>
      <c r="YH98" s="22"/>
      <c r="YI98" s="22"/>
      <c r="YJ98" s="22"/>
      <c r="YK98" s="22"/>
      <c r="YL98" s="22"/>
      <c r="YM98" s="22"/>
      <c r="YN98" s="22"/>
      <c r="YO98" s="22"/>
      <c r="YP98" s="22"/>
      <c r="YQ98" s="22"/>
      <c r="YR98" s="22"/>
      <c r="YS98" s="22"/>
      <c r="YT98" s="22"/>
      <c r="YU98" s="22"/>
      <c r="YV98" s="22"/>
      <c r="YW98" s="22"/>
      <c r="YX98" s="22"/>
      <c r="YY98" s="22"/>
      <c r="YZ98" s="22"/>
      <c r="ZA98" s="22"/>
      <c r="ZB98" s="22"/>
      <c r="ZC98" s="22"/>
      <c r="ZD98" s="22"/>
      <c r="ZE98" s="22"/>
      <c r="ZF98" s="22"/>
      <c r="ZG98" s="22"/>
      <c r="ZH98" s="22"/>
      <c r="ZI98" s="22"/>
      <c r="ZJ98" s="22"/>
      <c r="ZK98" s="22"/>
      <c r="ZL98" s="22"/>
      <c r="ZM98" s="22"/>
      <c r="ZN98" s="22"/>
      <c r="ZO98" s="22"/>
      <c r="ZP98" s="22"/>
      <c r="ZQ98" s="22"/>
      <c r="ZR98" s="22"/>
      <c r="ZS98" s="22"/>
      <c r="ZT98" s="22"/>
      <c r="ZU98" s="22"/>
      <c r="ZV98" s="22"/>
      <c r="ZW98" s="22"/>
      <c r="ZX98" s="22"/>
      <c r="ZY98" s="22"/>
      <c r="ZZ98" s="22"/>
      <c r="AAA98" s="22"/>
      <c r="AAB98" s="22"/>
      <c r="AAC98" s="22"/>
      <c r="AAD98" s="22"/>
      <c r="AAE98" s="22"/>
      <c r="AAF98" s="22"/>
      <c r="AAG98" s="22"/>
      <c r="AAH98" s="22"/>
      <c r="AAI98" s="22"/>
      <c r="AAJ98" s="22"/>
      <c r="AAK98" s="22"/>
      <c r="AAL98" s="22"/>
      <c r="AAM98" s="22"/>
      <c r="AAN98" s="22"/>
      <c r="AAO98" s="22"/>
      <c r="AAP98" s="22"/>
      <c r="AAQ98" s="22"/>
      <c r="AAR98" s="22"/>
      <c r="AAS98" s="22"/>
      <c r="AAT98" s="22"/>
      <c r="AAU98" s="22"/>
      <c r="AAV98" s="22"/>
      <c r="AAW98" s="22"/>
      <c r="AAX98" s="22"/>
      <c r="AAY98" s="22"/>
      <c r="AAZ98" s="22"/>
      <c r="ABA98" s="22"/>
      <c r="ABB98" s="22"/>
      <c r="ABC98" s="22"/>
      <c r="ABD98" s="22"/>
      <c r="ABE98" s="22"/>
      <c r="ABF98" s="22"/>
      <c r="ABG98" s="22"/>
      <c r="ABH98" s="22"/>
      <c r="ABI98" s="22"/>
      <c r="ABJ98" s="22"/>
      <c r="ABK98" s="22"/>
      <c r="ABL98" s="22"/>
      <c r="ABM98" s="22"/>
      <c r="ABN98" s="22"/>
      <c r="ABO98" s="22"/>
      <c r="ABP98" s="22"/>
      <c r="ABQ98" s="22"/>
      <c r="ABR98" s="22"/>
      <c r="ABS98" s="22"/>
      <c r="ABT98" s="22"/>
      <c r="ABU98" s="22"/>
      <c r="ABV98" s="22"/>
      <c r="ABW98" s="22"/>
      <c r="ABX98" s="22"/>
      <c r="ABY98" s="22"/>
      <c r="ABZ98" s="22"/>
      <c r="ACA98" s="22"/>
      <c r="ACB98" s="22"/>
      <c r="ACC98" s="22"/>
      <c r="ACD98" s="22"/>
      <c r="ACE98" s="22"/>
      <c r="ACF98" s="22"/>
      <c r="ACG98" s="22"/>
      <c r="ACH98" s="22"/>
      <c r="ACI98" s="22"/>
      <c r="ACJ98" s="22"/>
      <c r="ACK98" s="22"/>
      <c r="ACL98" s="22"/>
      <c r="ACM98" s="22"/>
      <c r="ACN98" s="22"/>
      <c r="ACO98" s="22"/>
      <c r="ACP98" s="22"/>
      <c r="ACQ98" s="22"/>
      <c r="ACR98" s="22"/>
      <c r="ACS98" s="22"/>
      <c r="ACT98" s="22"/>
      <c r="ACU98" s="22"/>
      <c r="ACV98" s="22"/>
      <c r="ACW98" s="22"/>
      <c r="ACX98" s="22"/>
      <c r="ACY98" s="22"/>
      <c r="ACZ98" s="22"/>
      <c r="ADA98" s="22"/>
      <c r="ADB98" s="22"/>
      <c r="ADC98" s="22"/>
      <c r="ADD98" s="22"/>
      <c r="ADE98" s="22"/>
      <c r="ADF98" s="22"/>
      <c r="ADG98" s="22"/>
      <c r="ADH98" s="22"/>
      <c r="ADI98" s="22"/>
      <c r="ADJ98" s="22"/>
      <c r="ADK98" s="22"/>
      <c r="ADL98" s="22"/>
      <c r="ADM98" s="22"/>
      <c r="ADN98" s="22"/>
      <c r="ADO98" s="22"/>
      <c r="ADP98" s="22"/>
      <c r="ADQ98" s="22"/>
      <c r="ADR98" s="22"/>
      <c r="ADS98" s="22"/>
      <c r="ADT98" s="22"/>
      <c r="ADU98" s="22"/>
      <c r="ADV98" s="22"/>
      <c r="ADW98" s="22"/>
      <c r="ADX98" s="22"/>
      <c r="ADY98" s="22"/>
      <c r="ADZ98" s="22"/>
      <c r="AEA98" s="22"/>
      <c r="AEB98" s="22"/>
      <c r="AEC98" s="22"/>
      <c r="AED98" s="22"/>
      <c r="AEE98" s="22"/>
      <c r="AEF98" s="22"/>
      <c r="AEG98" s="22"/>
      <c r="AEH98" s="22"/>
      <c r="AEI98" s="22"/>
      <c r="AEJ98" s="22"/>
      <c r="AEK98" s="22"/>
      <c r="AEL98" s="22"/>
      <c r="AEM98" s="22"/>
      <c r="AEN98" s="22"/>
      <c r="AEO98" s="22"/>
      <c r="AEP98" s="22"/>
      <c r="AEQ98" s="22"/>
      <c r="AER98" s="22"/>
      <c r="AES98" s="22"/>
      <c r="AET98" s="22"/>
      <c r="AEU98" s="22"/>
      <c r="AEV98" s="22"/>
      <c r="AEW98" s="22"/>
      <c r="AEX98" s="22"/>
      <c r="AEY98" s="22"/>
      <c r="AEZ98" s="22"/>
      <c r="AFA98" s="22"/>
      <c r="AFB98" s="22"/>
      <c r="AFC98" s="22"/>
      <c r="AFD98" s="22"/>
      <c r="AFE98" s="22"/>
      <c r="AFF98" s="22"/>
      <c r="AFG98" s="22"/>
      <c r="AFH98" s="22"/>
      <c r="AFI98" s="22"/>
      <c r="AFJ98" s="22"/>
      <c r="AFK98" s="22"/>
      <c r="AFL98" s="22"/>
      <c r="AFM98" s="22"/>
      <c r="AFN98" s="22"/>
      <c r="AFO98" s="22"/>
      <c r="AFP98" s="22"/>
      <c r="AFQ98" s="22"/>
      <c r="AFR98" s="22"/>
      <c r="AFS98" s="22"/>
      <c r="AFT98" s="22"/>
      <c r="AFU98" s="22"/>
      <c r="AFV98" s="22"/>
      <c r="AFW98" s="22"/>
      <c r="AFX98" s="22"/>
      <c r="AFY98" s="22"/>
      <c r="AFZ98" s="22"/>
      <c r="AGA98" s="22"/>
      <c r="AGB98" s="22"/>
      <c r="AGC98" s="22"/>
      <c r="AGD98" s="22"/>
      <c r="AGE98" s="22"/>
      <c r="AGF98" s="22"/>
      <c r="AGG98" s="22"/>
      <c r="AGH98" s="22"/>
      <c r="AGI98" s="22"/>
      <c r="AGJ98" s="22"/>
      <c r="AGK98" s="22"/>
      <c r="AGL98" s="22"/>
      <c r="AGM98" s="22"/>
      <c r="AGN98" s="22"/>
      <c r="AGO98" s="22"/>
      <c r="AGP98" s="22"/>
      <c r="AGQ98" s="22"/>
      <c r="AGR98" s="22"/>
      <c r="AGS98" s="22"/>
      <c r="AGT98" s="22"/>
      <c r="AGU98" s="22"/>
      <c r="AGV98" s="22"/>
      <c r="AGW98" s="22"/>
      <c r="AGX98" s="22"/>
      <c r="AGY98" s="22"/>
      <c r="AGZ98" s="22"/>
      <c r="AHA98" s="22"/>
      <c r="AHB98" s="22"/>
      <c r="AHC98" s="22"/>
      <c r="AHD98" s="22"/>
      <c r="AHE98" s="22"/>
      <c r="AHF98" s="22"/>
      <c r="AHG98" s="22"/>
      <c r="AHH98" s="22"/>
      <c r="AHI98" s="22"/>
      <c r="AHJ98" s="22"/>
      <c r="AHK98" s="22"/>
      <c r="AHL98" s="22"/>
      <c r="AHM98" s="22"/>
      <c r="AHN98" s="22"/>
      <c r="AHO98" s="22"/>
      <c r="AHP98" s="22"/>
      <c r="AHQ98" s="22"/>
      <c r="AHR98" s="22"/>
      <c r="AHS98" s="22"/>
      <c r="AHT98" s="22"/>
      <c r="AHU98" s="22"/>
      <c r="AHV98" s="22"/>
      <c r="AHW98" s="22"/>
      <c r="AHX98" s="22"/>
      <c r="AHY98" s="22"/>
      <c r="AHZ98" s="22"/>
      <c r="AIA98" s="22"/>
      <c r="AIB98" s="22"/>
      <c r="AIC98" s="22"/>
      <c r="AID98" s="22"/>
      <c r="AIE98" s="22"/>
      <c r="AIF98" s="22"/>
      <c r="AIG98" s="22"/>
      <c r="AIH98" s="22"/>
      <c r="AII98" s="22"/>
      <c r="AIJ98" s="22"/>
      <c r="AIK98" s="22"/>
      <c r="AIL98" s="22"/>
      <c r="AIM98" s="22"/>
      <c r="AIN98" s="22"/>
      <c r="AIO98" s="22"/>
      <c r="AIP98" s="22"/>
      <c r="AIQ98" s="22"/>
      <c r="AIR98" s="22"/>
      <c r="AIS98" s="22"/>
      <c r="AIT98" s="22"/>
      <c r="AIU98" s="22"/>
      <c r="AIV98" s="22"/>
      <c r="AIW98" s="22"/>
      <c r="AIX98" s="22"/>
      <c r="AIY98" s="22"/>
      <c r="AIZ98" s="22"/>
      <c r="AJA98" s="22"/>
      <c r="AJB98" s="22"/>
      <c r="AJC98" s="22"/>
      <c r="AJD98" s="22"/>
      <c r="AJE98" s="22"/>
      <c r="AJF98" s="22"/>
      <c r="AJG98" s="22"/>
      <c r="AJH98" s="22"/>
      <c r="AJI98" s="22"/>
      <c r="AJJ98" s="22"/>
      <c r="AJK98" s="22"/>
      <c r="AJL98" s="22"/>
      <c r="AJM98" s="22"/>
      <c r="AJN98" s="22"/>
      <c r="AJO98" s="22"/>
      <c r="AJP98" s="22"/>
      <c r="AJQ98" s="22"/>
      <c r="AJR98" s="22"/>
      <c r="AJS98" s="22"/>
      <c r="AJT98" s="22"/>
      <c r="AJU98" s="22"/>
      <c r="AJV98" s="22"/>
      <c r="AJW98" s="22"/>
      <c r="AJX98" s="22"/>
      <c r="AJY98" s="22"/>
      <c r="AJZ98" s="22"/>
      <c r="AKA98" s="22"/>
      <c r="AKB98" s="22"/>
      <c r="AKC98" s="22"/>
      <c r="AKD98" s="22"/>
      <c r="AKE98" s="22"/>
      <c r="AKF98" s="22"/>
      <c r="AKG98" s="22"/>
      <c r="AKH98" s="22"/>
      <c r="AKI98" s="22"/>
      <c r="AKJ98" s="22"/>
      <c r="AKK98" s="22"/>
      <c r="AKL98" s="22"/>
      <c r="AKM98" s="22"/>
      <c r="AKN98" s="22"/>
      <c r="AKO98" s="22"/>
      <c r="AKP98" s="22"/>
      <c r="AKQ98" s="22"/>
      <c r="AKR98" s="22"/>
      <c r="AKS98" s="22"/>
      <c r="AKT98" s="22"/>
      <c r="AKU98" s="22"/>
      <c r="AKV98" s="22"/>
      <c r="AKW98" s="22"/>
      <c r="AKX98" s="22"/>
      <c r="AKY98" s="22"/>
      <c r="AKZ98" s="22"/>
      <c r="ALA98" s="22"/>
      <c r="ALB98" s="22"/>
      <c r="ALC98" s="22"/>
      <c r="ALD98" s="22"/>
      <c r="ALE98" s="22"/>
      <c r="ALF98" s="22"/>
      <c r="ALG98" s="22"/>
      <c r="ALH98" s="22"/>
      <c r="ALI98" s="22"/>
      <c r="ALJ98" s="22"/>
      <c r="ALK98" s="22"/>
      <c r="ALL98" s="22"/>
      <c r="ALM98" s="22"/>
      <c r="ALN98" s="22"/>
      <c r="ALO98" s="22"/>
      <c r="ALP98" s="22"/>
      <c r="ALQ98" s="22"/>
      <c r="ALR98" s="22"/>
      <c r="ALS98" s="22"/>
      <c r="ALT98" s="22"/>
      <c r="ALU98" s="22"/>
      <c r="ALV98" s="22"/>
      <c r="ALW98" s="22"/>
      <c r="ALX98" s="22"/>
      <c r="ALY98" s="22"/>
      <c r="ALZ98" s="22"/>
      <c r="AMA98" s="22"/>
      <c r="AMB98" s="22"/>
      <c r="AMC98" s="22"/>
      <c r="AMD98" s="22"/>
      <c r="AME98" s="22"/>
      <c r="AMF98" s="22"/>
      <c r="AMG98" s="22"/>
      <c r="AMH98" s="22"/>
      <c r="AMI98" s="22"/>
      <c r="AMJ98" s="22"/>
      <c r="AMK98" s="22"/>
      <c r="AML98" s="22"/>
      <c r="AMM98" s="22"/>
      <c r="AMN98" s="22"/>
      <c r="AMO98" s="22"/>
      <c r="AMP98" s="22"/>
      <c r="AMQ98" s="22"/>
      <c r="AMR98" s="22"/>
      <c r="AMS98" s="22"/>
      <c r="AMT98" s="22"/>
      <c r="AMU98" s="22"/>
      <c r="AMV98" s="22"/>
      <c r="AMW98" s="22"/>
      <c r="AMX98" s="22"/>
      <c r="AMY98" s="22"/>
      <c r="AMZ98" s="22"/>
      <c r="ANA98" s="22"/>
      <c r="ANB98" s="22"/>
      <c r="ANC98" s="22"/>
      <c r="AND98" s="22"/>
      <c r="ANE98" s="22"/>
      <c r="ANF98" s="22"/>
      <c r="ANG98" s="22"/>
      <c r="ANH98" s="22"/>
      <c r="ANI98" s="22"/>
      <c r="ANJ98" s="22"/>
      <c r="ANK98" s="22"/>
      <c r="ANL98" s="22"/>
      <c r="ANM98" s="22"/>
      <c r="ANN98" s="22"/>
      <c r="ANO98" s="22"/>
      <c r="ANP98" s="22"/>
      <c r="ANQ98" s="22"/>
      <c r="ANR98" s="22"/>
      <c r="ANS98" s="22"/>
      <c r="ANT98" s="22"/>
      <c r="ANU98" s="22"/>
      <c r="ANV98" s="22"/>
      <c r="ANW98" s="22"/>
      <c r="ANX98" s="22"/>
      <c r="ANY98" s="22"/>
      <c r="ANZ98" s="22"/>
      <c r="AOA98" s="22"/>
      <c r="AOB98" s="22"/>
      <c r="AOC98" s="22"/>
      <c r="AOD98" s="22"/>
      <c r="AOE98" s="22"/>
      <c r="AOF98" s="22"/>
      <c r="AOG98" s="22"/>
      <c r="AOH98" s="22"/>
      <c r="AOI98" s="22"/>
      <c r="AOJ98" s="22"/>
      <c r="AOK98" s="22"/>
      <c r="AOL98" s="22"/>
      <c r="AOM98" s="22"/>
      <c r="AON98" s="22"/>
      <c r="AOO98" s="22"/>
      <c r="AOP98" s="22"/>
      <c r="AOQ98" s="22"/>
      <c r="AOR98" s="22"/>
      <c r="AOS98" s="22"/>
      <c r="AOT98" s="22"/>
      <c r="AOU98" s="22"/>
      <c r="AOV98" s="22"/>
      <c r="AOW98" s="22"/>
      <c r="AOX98" s="22"/>
      <c r="AOY98" s="22"/>
      <c r="AOZ98" s="22"/>
      <c r="APA98" s="22"/>
      <c r="APB98" s="22"/>
      <c r="APC98" s="22"/>
      <c r="APD98" s="22"/>
      <c r="APE98" s="22"/>
      <c r="APF98" s="22"/>
      <c r="APG98" s="22"/>
      <c r="APH98" s="22"/>
      <c r="API98" s="22"/>
      <c r="APJ98" s="22"/>
      <c r="APK98" s="22"/>
      <c r="APL98" s="22"/>
      <c r="APM98" s="22"/>
      <c r="APN98" s="22"/>
      <c r="APO98" s="22"/>
      <c r="APP98" s="22"/>
      <c r="APQ98" s="22"/>
      <c r="APR98" s="22"/>
      <c r="APS98" s="22"/>
      <c r="APT98" s="22"/>
      <c r="APU98" s="22"/>
      <c r="APV98" s="22"/>
      <c r="APW98" s="22"/>
      <c r="APX98" s="22"/>
      <c r="APY98" s="22"/>
      <c r="APZ98" s="22"/>
      <c r="AQA98" s="22"/>
      <c r="AQB98" s="22"/>
      <c r="AQC98" s="22"/>
      <c r="AQD98" s="22"/>
      <c r="AQE98" s="22"/>
      <c r="AQF98" s="22"/>
      <c r="AQG98" s="22"/>
      <c r="AQH98" s="22"/>
      <c r="AQI98" s="22"/>
      <c r="AQJ98" s="22"/>
      <c r="AQK98" s="22"/>
      <c r="AQL98" s="22"/>
      <c r="AQM98" s="22"/>
      <c r="AQN98" s="22"/>
      <c r="AQO98" s="22"/>
      <c r="AQP98" s="22"/>
      <c r="AQQ98" s="22"/>
      <c r="AQR98" s="22"/>
      <c r="AQS98" s="22"/>
      <c r="AQT98" s="22"/>
      <c r="AQU98" s="22"/>
      <c r="AQV98" s="22"/>
      <c r="AQW98" s="22"/>
      <c r="AQX98" s="22"/>
      <c r="AQY98" s="22"/>
      <c r="AQZ98" s="22"/>
      <c r="ARA98" s="22"/>
      <c r="ARB98" s="22"/>
      <c r="ARC98" s="22"/>
      <c r="ARD98" s="22"/>
      <c r="ARE98" s="22"/>
      <c r="ARF98" s="22"/>
      <c r="ARG98" s="22"/>
      <c r="ARH98" s="22"/>
      <c r="ARI98" s="22"/>
      <c r="ARJ98" s="22"/>
      <c r="ARK98" s="22"/>
      <c r="ARL98" s="22"/>
      <c r="ARM98" s="22"/>
      <c r="ARN98" s="22"/>
      <c r="ARO98" s="22"/>
      <c r="ARP98" s="22"/>
      <c r="ARQ98" s="22"/>
      <c r="ARR98" s="22"/>
      <c r="ARS98" s="22"/>
      <c r="ART98" s="22"/>
      <c r="ARU98" s="22"/>
      <c r="ARV98" s="22"/>
      <c r="ARW98" s="22"/>
      <c r="ARX98" s="22"/>
      <c r="ARY98" s="22"/>
      <c r="ARZ98" s="22"/>
      <c r="ASA98" s="22"/>
      <c r="ASB98" s="22"/>
      <c r="ASC98" s="22"/>
      <c r="ASD98" s="22"/>
      <c r="ASE98" s="22"/>
      <c r="ASF98" s="22"/>
      <c r="ASG98" s="22"/>
      <c r="ASH98" s="22"/>
      <c r="ASI98" s="22"/>
      <c r="ASJ98" s="22"/>
      <c r="ASK98" s="22"/>
      <c r="ASL98" s="22"/>
      <c r="ASM98" s="22"/>
      <c r="ASN98" s="22"/>
      <c r="ASO98" s="22"/>
      <c r="ASP98" s="22"/>
      <c r="ASQ98" s="22"/>
      <c r="ASR98" s="22"/>
      <c r="ASS98" s="22"/>
      <c r="AST98" s="22"/>
      <c r="ASU98" s="22"/>
      <c r="ASV98" s="22"/>
      <c r="ASW98" s="22"/>
      <c r="ASX98" s="22"/>
      <c r="ASY98" s="22"/>
      <c r="ASZ98" s="22"/>
      <c r="ATA98" s="22"/>
      <c r="ATB98" s="22"/>
      <c r="ATC98" s="22"/>
      <c r="ATD98" s="22"/>
      <c r="ATE98" s="22"/>
      <c r="ATF98" s="22"/>
      <c r="ATG98" s="22"/>
      <c r="ATH98" s="22"/>
      <c r="ATI98" s="22"/>
      <c r="ATJ98" s="22"/>
      <c r="ATK98" s="22"/>
      <c r="ATL98" s="22"/>
      <c r="ATM98" s="22"/>
      <c r="ATN98" s="22"/>
      <c r="ATO98" s="22"/>
      <c r="ATP98" s="22"/>
      <c r="ATQ98" s="22"/>
      <c r="ATR98" s="22"/>
      <c r="ATS98" s="22"/>
      <c r="ATT98" s="22"/>
      <c r="ATU98" s="22"/>
      <c r="ATV98" s="22"/>
      <c r="ATW98" s="22"/>
      <c r="ATX98" s="22"/>
      <c r="ATY98" s="22"/>
      <c r="ATZ98" s="22"/>
      <c r="AUA98" s="22"/>
      <c r="AUB98" s="22"/>
      <c r="AUC98" s="22"/>
      <c r="AUD98" s="22"/>
      <c r="AUE98" s="22"/>
      <c r="AUF98" s="22"/>
      <c r="AUG98" s="22"/>
      <c r="AUH98" s="22"/>
      <c r="AUI98" s="22"/>
      <c r="AUJ98" s="22"/>
      <c r="AUK98" s="22"/>
      <c r="AUL98" s="22"/>
      <c r="AUM98" s="22"/>
      <c r="AUN98" s="22"/>
      <c r="AUO98" s="22"/>
      <c r="AUP98" s="22"/>
      <c r="AUQ98" s="22"/>
      <c r="AUR98" s="22"/>
      <c r="AUS98" s="22"/>
      <c r="AUT98" s="22"/>
      <c r="AUU98" s="22"/>
      <c r="AUV98" s="22"/>
      <c r="AUW98" s="22"/>
      <c r="AUX98" s="22"/>
      <c r="AUY98" s="22"/>
      <c r="AUZ98" s="22"/>
      <c r="AVA98" s="22"/>
      <c r="AVB98" s="22"/>
      <c r="AVC98" s="22"/>
      <c r="AVD98" s="22"/>
      <c r="AVE98" s="22"/>
      <c r="AVF98" s="22"/>
      <c r="AVG98" s="22"/>
      <c r="AVH98" s="22"/>
      <c r="AVI98" s="22"/>
      <c r="AVJ98" s="22"/>
      <c r="AVK98" s="22"/>
      <c r="AVL98" s="22"/>
      <c r="AVM98" s="22"/>
      <c r="AVN98" s="22"/>
      <c r="AVO98" s="22"/>
      <c r="AVP98" s="22"/>
      <c r="AVQ98" s="22"/>
      <c r="AVR98" s="22"/>
      <c r="AVS98" s="22"/>
      <c r="AVT98" s="22"/>
      <c r="AVU98" s="22"/>
      <c r="AVV98" s="22"/>
      <c r="AVW98" s="22"/>
      <c r="AVX98" s="22"/>
      <c r="AVY98" s="22"/>
      <c r="AVZ98" s="22"/>
      <c r="AWA98" s="22"/>
      <c r="AWB98" s="22"/>
      <c r="AWC98" s="22"/>
      <c r="AWD98" s="22"/>
      <c r="AWE98" s="22"/>
      <c r="AWF98" s="22"/>
      <c r="AWG98" s="22"/>
      <c r="AWH98" s="22"/>
      <c r="AWI98" s="22"/>
      <c r="AWJ98" s="22"/>
      <c r="AWK98" s="22"/>
      <c r="AWL98" s="22"/>
      <c r="AWM98" s="22"/>
      <c r="AWN98" s="22"/>
      <c r="AWO98" s="22"/>
      <c r="AWP98" s="22"/>
      <c r="AWQ98" s="22"/>
      <c r="AWR98" s="22"/>
      <c r="AWS98" s="22"/>
      <c r="AWT98" s="22"/>
      <c r="AWU98" s="22"/>
      <c r="AWV98" s="22"/>
      <c r="AWW98" s="22"/>
      <c r="AWX98" s="22"/>
      <c r="AWY98" s="22"/>
      <c r="AWZ98" s="22"/>
      <c r="AXA98" s="22"/>
      <c r="AXB98" s="22"/>
      <c r="AXC98" s="22"/>
      <c r="AXD98" s="22"/>
      <c r="AXE98" s="22"/>
      <c r="AXF98" s="22"/>
      <c r="AXG98" s="22"/>
      <c r="AXH98" s="22"/>
      <c r="AXI98" s="22"/>
      <c r="AXJ98" s="22"/>
      <c r="AXK98" s="22"/>
      <c r="AXL98" s="22"/>
      <c r="AXM98" s="22"/>
      <c r="AXN98" s="22"/>
      <c r="AXO98" s="22"/>
      <c r="AXP98" s="22"/>
      <c r="AXQ98" s="22"/>
      <c r="AXR98" s="22"/>
      <c r="AXS98" s="22"/>
      <c r="AXT98" s="22"/>
      <c r="AXU98" s="22"/>
      <c r="AXV98" s="22"/>
      <c r="AXW98" s="22"/>
      <c r="AXX98" s="22"/>
      <c r="AXY98" s="22"/>
      <c r="AXZ98" s="22"/>
      <c r="AYA98" s="22"/>
      <c r="AYB98" s="22"/>
      <c r="AYC98" s="22"/>
      <c r="AYD98" s="22"/>
      <c r="AYE98" s="22"/>
      <c r="AYF98" s="22"/>
      <c r="AYG98" s="22"/>
      <c r="AYH98" s="22"/>
      <c r="AYI98" s="22"/>
      <c r="AYJ98" s="22"/>
      <c r="AYK98" s="22"/>
      <c r="AYL98" s="22"/>
      <c r="AYM98" s="22"/>
      <c r="AYN98" s="22"/>
      <c r="AYO98" s="22"/>
      <c r="AYP98" s="22"/>
      <c r="AYQ98" s="22"/>
      <c r="AYR98" s="22"/>
      <c r="AYS98" s="22"/>
      <c r="AYT98" s="22"/>
      <c r="AYU98" s="22"/>
      <c r="AYV98" s="22"/>
      <c r="AYW98" s="22"/>
      <c r="AYX98" s="22"/>
      <c r="AYY98" s="22"/>
      <c r="AYZ98" s="22"/>
      <c r="AZA98" s="22"/>
      <c r="AZB98" s="22"/>
      <c r="AZC98" s="22"/>
      <c r="AZD98" s="22"/>
      <c r="AZE98" s="22"/>
      <c r="AZF98" s="22"/>
      <c r="AZG98" s="22"/>
      <c r="AZH98" s="22"/>
      <c r="AZI98" s="22"/>
      <c r="AZJ98" s="22"/>
      <c r="AZK98" s="22"/>
      <c r="AZL98" s="22"/>
      <c r="AZM98" s="22"/>
      <c r="AZN98" s="22"/>
      <c r="AZO98" s="22"/>
      <c r="AZP98" s="22"/>
      <c r="AZQ98" s="22"/>
      <c r="AZR98" s="22"/>
      <c r="AZS98" s="22"/>
      <c r="AZT98" s="22"/>
      <c r="AZU98" s="22"/>
      <c r="AZV98" s="22"/>
      <c r="AZW98" s="22"/>
      <c r="AZX98" s="22"/>
      <c r="AZY98" s="22"/>
      <c r="AZZ98" s="22"/>
      <c r="BAA98" s="22"/>
      <c r="BAB98" s="22"/>
      <c r="BAC98" s="22"/>
      <c r="BAD98" s="22"/>
      <c r="BAE98" s="22"/>
      <c r="BAF98" s="22"/>
      <c r="BAG98" s="22"/>
      <c r="BAH98" s="22"/>
      <c r="BAI98" s="22"/>
      <c r="BAJ98" s="22"/>
      <c r="BAK98" s="22"/>
      <c r="BAL98" s="22"/>
      <c r="BAM98" s="22"/>
      <c r="BAN98" s="22"/>
      <c r="BAO98" s="22"/>
      <c r="BAP98" s="22"/>
      <c r="BAQ98" s="22"/>
      <c r="BAR98" s="22"/>
      <c r="BAS98" s="22"/>
      <c r="BAT98" s="22"/>
      <c r="BAU98" s="22"/>
      <c r="BAV98" s="22"/>
      <c r="BAW98" s="22"/>
      <c r="BAX98" s="22"/>
      <c r="BAY98" s="22"/>
      <c r="BAZ98" s="22"/>
      <c r="BBA98" s="22"/>
      <c r="BBB98" s="22"/>
      <c r="BBC98" s="22"/>
      <c r="BBD98" s="22"/>
      <c r="BBE98" s="22"/>
      <c r="BBF98" s="22"/>
      <c r="BBG98" s="22"/>
      <c r="BBH98" s="22"/>
      <c r="BBI98" s="22"/>
      <c r="BBJ98" s="22"/>
      <c r="BBK98" s="22"/>
      <c r="BBL98" s="22"/>
      <c r="BBM98" s="22"/>
      <c r="BBN98" s="22"/>
      <c r="BBO98" s="22"/>
      <c r="BBP98" s="22"/>
      <c r="BBQ98" s="22"/>
      <c r="BBR98" s="22"/>
      <c r="BBS98" s="22"/>
      <c r="BBT98" s="22"/>
      <c r="BBU98" s="22"/>
      <c r="BBV98" s="22"/>
      <c r="BBW98" s="22"/>
      <c r="BBX98" s="22"/>
      <c r="BBY98" s="22"/>
      <c r="BBZ98" s="22"/>
      <c r="BCA98" s="22"/>
      <c r="BCB98" s="22"/>
      <c r="BCC98" s="22"/>
      <c r="BCD98" s="22"/>
      <c r="BCE98" s="22"/>
      <c r="BCF98" s="22"/>
      <c r="BCG98" s="22"/>
      <c r="BCH98" s="22"/>
      <c r="BCI98" s="22"/>
      <c r="BCJ98" s="22"/>
      <c r="BCK98" s="22"/>
      <c r="BCL98" s="22"/>
      <c r="BCM98" s="22"/>
      <c r="BCN98" s="22"/>
      <c r="BCO98" s="22"/>
      <c r="BCP98" s="22"/>
      <c r="BCQ98" s="22"/>
      <c r="BCR98" s="22"/>
      <c r="BCS98" s="22"/>
      <c r="BCT98" s="22"/>
      <c r="BCU98" s="22"/>
      <c r="BCV98" s="22"/>
      <c r="BCW98" s="22"/>
      <c r="BCX98" s="22"/>
      <c r="BCY98" s="22"/>
      <c r="BCZ98" s="22"/>
      <c r="BDA98" s="22"/>
      <c r="BDB98" s="22"/>
      <c r="BDC98" s="22"/>
      <c r="BDD98" s="22"/>
      <c r="BDE98" s="22"/>
      <c r="BDF98" s="22"/>
      <c r="BDG98" s="22"/>
      <c r="BDH98" s="22"/>
      <c r="BDI98" s="22"/>
      <c r="BDJ98" s="22"/>
      <c r="BDK98" s="22"/>
      <c r="BDL98" s="22"/>
      <c r="BDM98" s="22"/>
      <c r="BDN98" s="22"/>
      <c r="BDO98" s="22"/>
      <c r="BDP98" s="22"/>
      <c r="BDQ98" s="22"/>
      <c r="BDR98" s="22"/>
      <c r="BDS98" s="22"/>
      <c r="BDT98" s="22"/>
      <c r="BDU98" s="22"/>
      <c r="BDV98" s="22"/>
      <c r="BDW98" s="22"/>
      <c r="BDX98" s="22"/>
      <c r="BDY98" s="22"/>
      <c r="BDZ98" s="22"/>
      <c r="BEA98" s="22"/>
      <c r="BEB98" s="22"/>
      <c r="BEC98" s="22"/>
      <c r="BED98" s="22"/>
      <c r="BEE98" s="22"/>
      <c r="BEF98" s="22"/>
      <c r="BEG98" s="22"/>
      <c r="BEH98" s="22"/>
      <c r="BEI98" s="22"/>
      <c r="BEJ98" s="22"/>
      <c r="BEK98" s="22"/>
      <c r="BEL98" s="22"/>
      <c r="BEM98" s="22"/>
      <c r="BEN98" s="22"/>
      <c r="BEO98" s="22"/>
      <c r="BEP98" s="22"/>
      <c r="BEQ98" s="22"/>
      <c r="BER98" s="22"/>
      <c r="BES98" s="22"/>
      <c r="BET98" s="22"/>
      <c r="BEU98" s="22"/>
      <c r="BEV98" s="22"/>
      <c r="BEW98" s="22"/>
      <c r="BEX98" s="22"/>
      <c r="BEY98" s="22"/>
      <c r="BEZ98" s="22"/>
      <c r="BFA98" s="22"/>
      <c r="BFB98" s="22"/>
      <c r="BFC98" s="22"/>
      <c r="BFD98" s="22"/>
      <c r="BFE98" s="22"/>
      <c r="BFF98" s="22"/>
      <c r="BFG98" s="22"/>
      <c r="BFH98" s="22"/>
      <c r="BFI98" s="22"/>
      <c r="BFJ98" s="22"/>
      <c r="BFK98" s="22"/>
      <c r="BFL98" s="22"/>
      <c r="BFM98" s="22"/>
      <c r="BFN98" s="22"/>
      <c r="BFO98" s="22"/>
      <c r="BFP98" s="22"/>
      <c r="BFQ98" s="22"/>
      <c r="BFR98" s="22"/>
      <c r="BFS98" s="22"/>
      <c r="BFT98" s="22"/>
      <c r="BFU98" s="22"/>
      <c r="BFV98" s="22"/>
      <c r="BFW98" s="22"/>
    </row>
    <row r="99" spans="1:1531" s="208" customFormat="1" ht="46.15" customHeight="1" x14ac:dyDescent="0.2">
      <c r="A99" s="305" t="s">
        <v>528</v>
      </c>
      <c r="B99" s="286"/>
      <c r="C99" s="122" t="s">
        <v>558</v>
      </c>
      <c r="D99" s="286"/>
      <c r="E99" s="286" t="s">
        <v>842</v>
      </c>
      <c r="F99" s="286"/>
      <c r="G99" s="286" t="s">
        <v>536</v>
      </c>
      <c r="H99" s="174"/>
      <c r="I99" s="281" t="s">
        <v>707</v>
      </c>
      <c r="J99" s="176"/>
      <c r="K99" s="122" t="s">
        <v>117</v>
      </c>
      <c r="L99" s="176"/>
      <c r="M99" s="176"/>
      <c r="N99" s="176"/>
      <c r="O99" s="176">
        <v>2016</v>
      </c>
      <c r="P99" s="162" t="s">
        <v>750</v>
      </c>
      <c r="Q99" s="176"/>
      <c r="R99" s="176"/>
      <c r="S99" s="282"/>
      <c r="T99" s="176"/>
      <c r="U99" s="176"/>
      <c r="V99" s="176"/>
      <c r="W99" s="176"/>
      <c r="X99" s="176"/>
      <c r="Y99" s="283"/>
      <c r="Z99" s="176"/>
      <c r="AA99" s="282"/>
      <c r="AB99" s="176"/>
      <c r="AC99" s="176"/>
      <c r="AD99" s="176"/>
      <c r="AE99" s="176"/>
      <c r="AF99" s="176"/>
      <c r="AG99" s="176"/>
      <c r="AH99" s="176"/>
      <c r="AI99" s="176"/>
      <c r="AJ99" s="176"/>
      <c r="AK99" s="176"/>
      <c r="AL99" s="176">
        <v>63</v>
      </c>
      <c r="AM99" s="176"/>
      <c r="AN99" s="284" t="s">
        <v>707</v>
      </c>
      <c r="AU99" s="285"/>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c r="IW99" s="22"/>
      <c r="IX99" s="22"/>
      <c r="IY99" s="22"/>
      <c r="IZ99" s="22"/>
      <c r="JA99" s="22"/>
      <c r="JB99" s="22"/>
      <c r="JC99" s="22"/>
      <c r="JD99" s="22"/>
      <c r="JE99" s="22"/>
      <c r="JF99" s="22"/>
      <c r="JG99" s="22"/>
      <c r="JH99" s="22"/>
      <c r="JI99" s="22"/>
      <c r="JJ99" s="22"/>
      <c r="JK99" s="22"/>
      <c r="JL99" s="22"/>
      <c r="JM99" s="22"/>
      <c r="JN99" s="22"/>
      <c r="JO99" s="22"/>
      <c r="JP99" s="22"/>
      <c r="JQ99" s="22"/>
      <c r="JR99" s="22"/>
      <c r="JS99" s="22"/>
      <c r="JT99" s="22"/>
      <c r="JU99" s="22"/>
      <c r="JV99" s="22"/>
      <c r="JW99" s="22"/>
      <c r="JX99" s="22"/>
      <c r="JY99" s="22"/>
      <c r="JZ99" s="22"/>
      <c r="KA99" s="22"/>
      <c r="KB99" s="22"/>
      <c r="KC99" s="22"/>
      <c r="KD99" s="22"/>
      <c r="KE99" s="22"/>
      <c r="KF99" s="22"/>
      <c r="KG99" s="22"/>
      <c r="KH99" s="22"/>
      <c r="KI99" s="22"/>
      <c r="KJ99" s="22"/>
      <c r="KK99" s="22"/>
      <c r="KL99" s="22"/>
      <c r="KM99" s="22"/>
      <c r="KN99" s="22"/>
      <c r="KO99" s="22"/>
      <c r="KP99" s="22"/>
      <c r="KQ99" s="22"/>
      <c r="KR99" s="22"/>
      <c r="KS99" s="22"/>
      <c r="KT99" s="22"/>
      <c r="KU99" s="22"/>
      <c r="KV99" s="22"/>
      <c r="KW99" s="22"/>
      <c r="KX99" s="22"/>
      <c r="KY99" s="22"/>
      <c r="KZ99" s="22"/>
      <c r="LA99" s="22"/>
      <c r="LB99" s="22"/>
      <c r="LC99" s="22"/>
      <c r="LD99" s="22"/>
      <c r="LE99" s="22"/>
      <c r="LF99" s="22"/>
      <c r="LG99" s="22"/>
      <c r="LH99" s="22"/>
      <c r="LI99" s="22"/>
      <c r="LJ99" s="22"/>
      <c r="LK99" s="22"/>
      <c r="LL99" s="22"/>
      <c r="LM99" s="22"/>
      <c r="LN99" s="22"/>
      <c r="LO99" s="22"/>
      <c r="LP99" s="22"/>
      <c r="LQ99" s="22"/>
      <c r="LR99" s="22"/>
      <c r="LS99" s="22"/>
      <c r="LT99" s="22"/>
      <c r="LU99" s="22"/>
      <c r="LV99" s="22"/>
      <c r="LW99" s="22"/>
      <c r="LX99" s="22"/>
      <c r="LY99" s="22"/>
      <c r="LZ99" s="22"/>
      <c r="MA99" s="22"/>
      <c r="MB99" s="22"/>
      <c r="MC99" s="22"/>
      <c r="MD99" s="22"/>
      <c r="ME99" s="22"/>
      <c r="MF99" s="22"/>
      <c r="MG99" s="22"/>
      <c r="MH99" s="22"/>
      <c r="MI99" s="22"/>
      <c r="MJ99" s="22"/>
      <c r="MK99" s="22"/>
      <c r="ML99" s="22"/>
      <c r="MM99" s="22"/>
      <c r="MN99" s="22"/>
      <c r="MO99" s="22"/>
      <c r="MP99" s="22"/>
      <c r="MQ99" s="22"/>
      <c r="MR99" s="22"/>
      <c r="MS99" s="22"/>
      <c r="MT99" s="22"/>
      <c r="MU99" s="22"/>
      <c r="MV99" s="22"/>
      <c r="MW99" s="22"/>
      <c r="MX99" s="22"/>
      <c r="MY99" s="22"/>
      <c r="MZ99" s="22"/>
      <c r="NA99" s="22"/>
      <c r="NB99" s="22"/>
      <c r="NC99" s="22"/>
      <c r="ND99" s="22"/>
      <c r="NE99" s="22"/>
      <c r="NF99" s="22"/>
      <c r="NG99" s="22"/>
      <c r="NH99" s="22"/>
      <c r="NI99" s="22"/>
      <c r="NJ99" s="22"/>
      <c r="NK99" s="22"/>
      <c r="NL99" s="22"/>
      <c r="NM99" s="22"/>
      <c r="NN99" s="22"/>
      <c r="NO99" s="22"/>
      <c r="NP99" s="22"/>
      <c r="NQ99" s="22"/>
      <c r="NR99" s="22"/>
      <c r="NS99" s="22"/>
      <c r="NT99" s="22"/>
      <c r="NU99" s="22"/>
      <c r="NV99" s="22"/>
      <c r="NW99" s="22"/>
      <c r="NX99" s="22"/>
      <c r="NY99" s="22"/>
      <c r="NZ99" s="22"/>
      <c r="OA99" s="22"/>
      <c r="OB99" s="22"/>
      <c r="OC99" s="22"/>
      <c r="OD99" s="22"/>
      <c r="OE99" s="22"/>
      <c r="OF99" s="22"/>
      <c r="OG99" s="22"/>
      <c r="OH99" s="22"/>
      <c r="OI99" s="22"/>
      <c r="OJ99" s="22"/>
      <c r="OK99" s="22"/>
      <c r="OL99" s="22"/>
      <c r="OM99" s="22"/>
      <c r="ON99" s="22"/>
      <c r="OO99" s="22"/>
      <c r="OP99" s="22"/>
      <c r="OQ99" s="22"/>
      <c r="OR99" s="22"/>
      <c r="OS99" s="22"/>
      <c r="OT99" s="22"/>
      <c r="OU99" s="22"/>
      <c r="OV99" s="22"/>
      <c r="OW99" s="22"/>
      <c r="OX99" s="22"/>
      <c r="OY99" s="22"/>
      <c r="OZ99" s="22"/>
      <c r="PA99" s="22"/>
      <c r="PB99" s="22"/>
      <c r="PC99" s="22"/>
      <c r="PD99" s="22"/>
      <c r="PE99" s="22"/>
      <c r="PF99" s="22"/>
      <c r="PG99" s="22"/>
      <c r="PH99" s="22"/>
      <c r="PI99" s="22"/>
      <c r="PJ99" s="22"/>
      <c r="PK99" s="22"/>
      <c r="PL99" s="22"/>
      <c r="PM99" s="22"/>
      <c r="PN99" s="22"/>
      <c r="PO99" s="22"/>
      <c r="PP99" s="22"/>
      <c r="PQ99" s="22"/>
      <c r="PR99" s="22"/>
      <c r="PS99" s="22"/>
      <c r="PT99" s="22"/>
      <c r="PU99" s="22"/>
      <c r="PV99" s="22"/>
      <c r="PW99" s="22"/>
      <c r="PX99" s="22"/>
      <c r="PY99" s="22"/>
      <c r="PZ99" s="22"/>
      <c r="QA99" s="22"/>
      <c r="QB99" s="22"/>
      <c r="QC99" s="22"/>
      <c r="QD99" s="22"/>
      <c r="QE99" s="22"/>
      <c r="QF99" s="22"/>
      <c r="QG99" s="22"/>
      <c r="QH99" s="22"/>
      <c r="QI99" s="22"/>
      <c r="QJ99" s="22"/>
      <c r="QK99" s="22"/>
      <c r="QL99" s="22"/>
      <c r="QM99" s="22"/>
      <c r="QN99" s="22"/>
      <c r="QO99" s="22"/>
      <c r="QP99" s="22"/>
      <c r="QQ99" s="22"/>
      <c r="QR99" s="22"/>
      <c r="QS99" s="22"/>
      <c r="QT99" s="22"/>
      <c r="QU99" s="22"/>
      <c r="QV99" s="22"/>
      <c r="QW99" s="22"/>
      <c r="QX99" s="22"/>
      <c r="QY99" s="22"/>
      <c r="QZ99" s="22"/>
      <c r="RA99" s="22"/>
      <c r="RB99" s="22"/>
      <c r="RC99" s="22"/>
      <c r="RD99" s="22"/>
      <c r="RE99" s="22"/>
      <c r="RF99" s="22"/>
      <c r="RG99" s="22"/>
      <c r="RH99" s="22"/>
      <c r="RI99" s="22"/>
      <c r="RJ99" s="22"/>
      <c r="RK99" s="22"/>
      <c r="RL99" s="22"/>
      <c r="RM99" s="22"/>
      <c r="RN99" s="22"/>
      <c r="RO99" s="22"/>
      <c r="RP99" s="22"/>
      <c r="RQ99" s="22"/>
      <c r="RR99" s="22"/>
      <c r="RS99" s="22"/>
      <c r="RT99" s="22"/>
      <c r="RU99" s="22"/>
      <c r="RV99" s="22"/>
      <c r="RW99" s="22"/>
      <c r="RX99" s="22"/>
      <c r="RY99" s="22"/>
      <c r="RZ99" s="22"/>
      <c r="SA99" s="22"/>
      <c r="SB99" s="22"/>
      <c r="SC99" s="22"/>
      <c r="SD99" s="22"/>
      <c r="SE99" s="22"/>
      <c r="SF99" s="22"/>
      <c r="SG99" s="22"/>
      <c r="SH99" s="22"/>
      <c r="SI99" s="22"/>
      <c r="SJ99" s="22"/>
      <c r="SK99" s="22"/>
      <c r="SL99" s="22"/>
      <c r="SM99" s="22"/>
      <c r="SN99" s="22"/>
      <c r="SO99" s="22"/>
      <c r="SP99" s="22"/>
      <c r="SQ99" s="22"/>
      <c r="SR99" s="22"/>
      <c r="SS99" s="22"/>
      <c r="ST99" s="22"/>
      <c r="SU99" s="22"/>
      <c r="SV99" s="22"/>
      <c r="SW99" s="22"/>
      <c r="SX99" s="22"/>
      <c r="SY99" s="22"/>
      <c r="SZ99" s="22"/>
      <c r="TA99" s="22"/>
      <c r="TB99" s="22"/>
      <c r="TC99" s="22"/>
      <c r="TD99" s="22"/>
      <c r="TE99" s="22"/>
      <c r="TF99" s="22"/>
      <c r="TG99" s="22"/>
      <c r="TH99" s="22"/>
      <c r="TI99" s="22"/>
      <c r="TJ99" s="22"/>
      <c r="TK99" s="22"/>
      <c r="TL99" s="22"/>
      <c r="TM99" s="22"/>
      <c r="TN99" s="22"/>
      <c r="TO99" s="22"/>
      <c r="TP99" s="22"/>
      <c r="TQ99" s="22"/>
      <c r="TR99" s="22"/>
      <c r="TS99" s="22"/>
      <c r="TT99" s="22"/>
      <c r="TU99" s="22"/>
      <c r="TV99" s="22"/>
      <c r="TW99" s="22"/>
      <c r="TX99" s="22"/>
      <c r="TY99" s="22"/>
      <c r="TZ99" s="22"/>
      <c r="UA99" s="22"/>
      <c r="UB99" s="22"/>
      <c r="UC99" s="22"/>
      <c r="UD99" s="22"/>
      <c r="UE99" s="22"/>
      <c r="UF99" s="22"/>
      <c r="UG99" s="22"/>
      <c r="UH99" s="22"/>
      <c r="UI99" s="22"/>
      <c r="UJ99" s="22"/>
      <c r="UK99" s="22"/>
      <c r="UL99" s="22"/>
      <c r="UM99" s="22"/>
      <c r="UN99" s="22"/>
      <c r="UO99" s="22"/>
      <c r="UP99" s="22"/>
      <c r="UQ99" s="22"/>
      <c r="UR99" s="22"/>
      <c r="US99" s="22"/>
      <c r="UT99" s="22"/>
      <c r="UU99" s="22"/>
      <c r="UV99" s="22"/>
      <c r="UW99" s="22"/>
      <c r="UX99" s="22"/>
      <c r="UY99" s="22"/>
      <c r="UZ99" s="22"/>
      <c r="VA99" s="22"/>
      <c r="VB99" s="22"/>
      <c r="VC99" s="22"/>
      <c r="VD99" s="22"/>
      <c r="VE99" s="22"/>
      <c r="VF99" s="22"/>
      <c r="VG99" s="22"/>
      <c r="VH99" s="22"/>
      <c r="VI99" s="22"/>
      <c r="VJ99" s="22"/>
      <c r="VK99" s="22"/>
      <c r="VL99" s="22"/>
      <c r="VM99" s="22"/>
      <c r="VN99" s="22"/>
      <c r="VO99" s="22"/>
      <c r="VP99" s="22"/>
      <c r="VQ99" s="22"/>
      <c r="VR99" s="22"/>
      <c r="VS99" s="22"/>
      <c r="VT99" s="22"/>
      <c r="VU99" s="22"/>
      <c r="VV99" s="22"/>
      <c r="VW99" s="22"/>
      <c r="VX99" s="22"/>
      <c r="VY99" s="22"/>
      <c r="VZ99" s="22"/>
      <c r="WA99" s="22"/>
      <c r="WB99" s="22"/>
      <c r="WC99" s="22"/>
      <c r="WD99" s="22"/>
      <c r="WE99" s="22"/>
      <c r="WF99" s="22"/>
      <c r="WG99" s="22"/>
      <c r="WH99" s="22"/>
      <c r="WI99" s="22"/>
      <c r="WJ99" s="22"/>
      <c r="WK99" s="22"/>
      <c r="WL99" s="22"/>
      <c r="WM99" s="22"/>
      <c r="WN99" s="22"/>
      <c r="WO99" s="22"/>
      <c r="WP99" s="22"/>
      <c r="WQ99" s="22"/>
      <c r="WR99" s="22"/>
      <c r="WS99" s="22"/>
      <c r="WT99" s="22"/>
      <c r="WU99" s="22"/>
      <c r="WV99" s="22"/>
      <c r="WW99" s="22"/>
      <c r="WX99" s="22"/>
      <c r="WY99" s="22"/>
      <c r="WZ99" s="22"/>
      <c r="XA99" s="22"/>
      <c r="XB99" s="22"/>
      <c r="XC99" s="22"/>
      <c r="XD99" s="22"/>
      <c r="XE99" s="22"/>
      <c r="XF99" s="22"/>
      <c r="XG99" s="22"/>
      <c r="XH99" s="22"/>
      <c r="XI99" s="22"/>
      <c r="XJ99" s="22"/>
      <c r="XK99" s="22"/>
      <c r="XL99" s="22"/>
      <c r="XM99" s="22"/>
      <c r="XN99" s="22"/>
      <c r="XO99" s="22"/>
      <c r="XP99" s="22"/>
      <c r="XQ99" s="22"/>
      <c r="XR99" s="22"/>
      <c r="XS99" s="22"/>
      <c r="XT99" s="22"/>
      <c r="XU99" s="22"/>
      <c r="XV99" s="22"/>
      <c r="XW99" s="22"/>
      <c r="XX99" s="22"/>
      <c r="XY99" s="22"/>
      <c r="XZ99" s="22"/>
      <c r="YA99" s="22"/>
      <c r="YB99" s="22"/>
      <c r="YC99" s="22"/>
      <c r="YD99" s="22"/>
      <c r="YE99" s="22"/>
      <c r="YF99" s="22"/>
      <c r="YG99" s="22"/>
      <c r="YH99" s="22"/>
      <c r="YI99" s="22"/>
      <c r="YJ99" s="22"/>
      <c r="YK99" s="22"/>
      <c r="YL99" s="22"/>
      <c r="YM99" s="22"/>
      <c r="YN99" s="22"/>
      <c r="YO99" s="22"/>
      <c r="YP99" s="22"/>
      <c r="YQ99" s="22"/>
      <c r="YR99" s="22"/>
      <c r="YS99" s="22"/>
      <c r="YT99" s="22"/>
      <c r="YU99" s="22"/>
      <c r="YV99" s="22"/>
      <c r="YW99" s="22"/>
      <c r="YX99" s="22"/>
      <c r="YY99" s="22"/>
      <c r="YZ99" s="22"/>
      <c r="ZA99" s="22"/>
      <c r="ZB99" s="22"/>
      <c r="ZC99" s="22"/>
      <c r="ZD99" s="22"/>
      <c r="ZE99" s="22"/>
      <c r="ZF99" s="22"/>
      <c r="ZG99" s="22"/>
      <c r="ZH99" s="22"/>
      <c r="ZI99" s="22"/>
      <c r="ZJ99" s="22"/>
      <c r="ZK99" s="22"/>
      <c r="ZL99" s="22"/>
      <c r="ZM99" s="22"/>
      <c r="ZN99" s="22"/>
      <c r="ZO99" s="22"/>
      <c r="ZP99" s="22"/>
      <c r="ZQ99" s="22"/>
      <c r="ZR99" s="22"/>
      <c r="ZS99" s="22"/>
      <c r="ZT99" s="22"/>
      <c r="ZU99" s="22"/>
      <c r="ZV99" s="22"/>
      <c r="ZW99" s="22"/>
      <c r="ZX99" s="22"/>
      <c r="ZY99" s="22"/>
      <c r="ZZ99" s="22"/>
      <c r="AAA99" s="22"/>
      <c r="AAB99" s="22"/>
      <c r="AAC99" s="22"/>
      <c r="AAD99" s="22"/>
      <c r="AAE99" s="22"/>
      <c r="AAF99" s="22"/>
      <c r="AAG99" s="22"/>
      <c r="AAH99" s="22"/>
      <c r="AAI99" s="22"/>
      <c r="AAJ99" s="22"/>
      <c r="AAK99" s="22"/>
      <c r="AAL99" s="22"/>
      <c r="AAM99" s="22"/>
      <c r="AAN99" s="22"/>
      <c r="AAO99" s="22"/>
      <c r="AAP99" s="22"/>
      <c r="AAQ99" s="22"/>
      <c r="AAR99" s="22"/>
      <c r="AAS99" s="22"/>
      <c r="AAT99" s="22"/>
      <c r="AAU99" s="22"/>
      <c r="AAV99" s="22"/>
      <c r="AAW99" s="22"/>
      <c r="AAX99" s="22"/>
      <c r="AAY99" s="22"/>
      <c r="AAZ99" s="22"/>
      <c r="ABA99" s="22"/>
      <c r="ABB99" s="22"/>
      <c r="ABC99" s="22"/>
      <c r="ABD99" s="22"/>
      <c r="ABE99" s="22"/>
      <c r="ABF99" s="22"/>
      <c r="ABG99" s="22"/>
      <c r="ABH99" s="22"/>
      <c r="ABI99" s="22"/>
      <c r="ABJ99" s="22"/>
      <c r="ABK99" s="22"/>
      <c r="ABL99" s="22"/>
      <c r="ABM99" s="22"/>
      <c r="ABN99" s="22"/>
      <c r="ABO99" s="22"/>
      <c r="ABP99" s="22"/>
      <c r="ABQ99" s="22"/>
      <c r="ABR99" s="22"/>
      <c r="ABS99" s="22"/>
      <c r="ABT99" s="22"/>
      <c r="ABU99" s="22"/>
      <c r="ABV99" s="22"/>
      <c r="ABW99" s="22"/>
      <c r="ABX99" s="22"/>
      <c r="ABY99" s="22"/>
      <c r="ABZ99" s="22"/>
      <c r="ACA99" s="22"/>
      <c r="ACB99" s="22"/>
      <c r="ACC99" s="22"/>
      <c r="ACD99" s="22"/>
      <c r="ACE99" s="22"/>
      <c r="ACF99" s="22"/>
      <c r="ACG99" s="22"/>
      <c r="ACH99" s="22"/>
      <c r="ACI99" s="22"/>
      <c r="ACJ99" s="22"/>
      <c r="ACK99" s="22"/>
      <c r="ACL99" s="22"/>
      <c r="ACM99" s="22"/>
      <c r="ACN99" s="22"/>
      <c r="ACO99" s="22"/>
      <c r="ACP99" s="22"/>
      <c r="ACQ99" s="22"/>
      <c r="ACR99" s="22"/>
      <c r="ACS99" s="22"/>
      <c r="ACT99" s="22"/>
      <c r="ACU99" s="22"/>
      <c r="ACV99" s="22"/>
      <c r="ACW99" s="22"/>
      <c r="ACX99" s="22"/>
      <c r="ACY99" s="22"/>
      <c r="ACZ99" s="22"/>
      <c r="ADA99" s="22"/>
      <c r="ADB99" s="22"/>
      <c r="ADC99" s="22"/>
      <c r="ADD99" s="22"/>
      <c r="ADE99" s="22"/>
      <c r="ADF99" s="22"/>
      <c r="ADG99" s="22"/>
      <c r="ADH99" s="22"/>
      <c r="ADI99" s="22"/>
      <c r="ADJ99" s="22"/>
      <c r="ADK99" s="22"/>
      <c r="ADL99" s="22"/>
      <c r="ADM99" s="22"/>
      <c r="ADN99" s="22"/>
      <c r="ADO99" s="22"/>
      <c r="ADP99" s="22"/>
      <c r="ADQ99" s="22"/>
      <c r="ADR99" s="22"/>
      <c r="ADS99" s="22"/>
      <c r="ADT99" s="22"/>
      <c r="ADU99" s="22"/>
      <c r="ADV99" s="22"/>
      <c r="ADW99" s="22"/>
      <c r="ADX99" s="22"/>
      <c r="ADY99" s="22"/>
      <c r="ADZ99" s="22"/>
      <c r="AEA99" s="22"/>
      <c r="AEB99" s="22"/>
      <c r="AEC99" s="22"/>
      <c r="AED99" s="22"/>
      <c r="AEE99" s="22"/>
      <c r="AEF99" s="22"/>
      <c r="AEG99" s="22"/>
      <c r="AEH99" s="22"/>
      <c r="AEI99" s="22"/>
      <c r="AEJ99" s="22"/>
      <c r="AEK99" s="22"/>
      <c r="AEL99" s="22"/>
      <c r="AEM99" s="22"/>
      <c r="AEN99" s="22"/>
      <c r="AEO99" s="22"/>
      <c r="AEP99" s="22"/>
      <c r="AEQ99" s="22"/>
      <c r="AER99" s="22"/>
      <c r="AES99" s="22"/>
      <c r="AET99" s="22"/>
      <c r="AEU99" s="22"/>
      <c r="AEV99" s="22"/>
      <c r="AEW99" s="22"/>
      <c r="AEX99" s="22"/>
      <c r="AEY99" s="22"/>
      <c r="AEZ99" s="22"/>
      <c r="AFA99" s="22"/>
      <c r="AFB99" s="22"/>
      <c r="AFC99" s="22"/>
      <c r="AFD99" s="22"/>
      <c r="AFE99" s="22"/>
      <c r="AFF99" s="22"/>
      <c r="AFG99" s="22"/>
      <c r="AFH99" s="22"/>
      <c r="AFI99" s="22"/>
      <c r="AFJ99" s="22"/>
      <c r="AFK99" s="22"/>
      <c r="AFL99" s="22"/>
      <c r="AFM99" s="22"/>
      <c r="AFN99" s="22"/>
      <c r="AFO99" s="22"/>
      <c r="AFP99" s="22"/>
      <c r="AFQ99" s="22"/>
      <c r="AFR99" s="22"/>
      <c r="AFS99" s="22"/>
      <c r="AFT99" s="22"/>
      <c r="AFU99" s="22"/>
      <c r="AFV99" s="22"/>
      <c r="AFW99" s="22"/>
      <c r="AFX99" s="22"/>
      <c r="AFY99" s="22"/>
      <c r="AFZ99" s="22"/>
      <c r="AGA99" s="22"/>
      <c r="AGB99" s="22"/>
      <c r="AGC99" s="22"/>
      <c r="AGD99" s="22"/>
      <c r="AGE99" s="22"/>
      <c r="AGF99" s="22"/>
      <c r="AGG99" s="22"/>
      <c r="AGH99" s="22"/>
      <c r="AGI99" s="22"/>
      <c r="AGJ99" s="22"/>
      <c r="AGK99" s="22"/>
      <c r="AGL99" s="22"/>
      <c r="AGM99" s="22"/>
      <c r="AGN99" s="22"/>
      <c r="AGO99" s="22"/>
      <c r="AGP99" s="22"/>
      <c r="AGQ99" s="22"/>
      <c r="AGR99" s="22"/>
      <c r="AGS99" s="22"/>
      <c r="AGT99" s="22"/>
      <c r="AGU99" s="22"/>
      <c r="AGV99" s="22"/>
      <c r="AGW99" s="22"/>
      <c r="AGX99" s="22"/>
      <c r="AGY99" s="22"/>
      <c r="AGZ99" s="22"/>
      <c r="AHA99" s="22"/>
      <c r="AHB99" s="22"/>
      <c r="AHC99" s="22"/>
      <c r="AHD99" s="22"/>
      <c r="AHE99" s="22"/>
      <c r="AHF99" s="22"/>
      <c r="AHG99" s="22"/>
      <c r="AHH99" s="22"/>
      <c r="AHI99" s="22"/>
      <c r="AHJ99" s="22"/>
      <c r="AHK99" s="22"/>
      <c r="AHL99" s="22"/>
      <c r="AHM99" s="22"/>
      <c r="AHN99" s="22"/>
      <c r="AHO99" s="22"/>
      <c r="AHP99" s="22"/>
      <c r="AHQ99" s="22"/>
      <c r="AHR99" s="22"/>
      <c r="AHS99" s="22"/>
      <c r="AHT99" s="22"/>
      <c r="AHU99" s="22"/>
      <c r="AHV99" s="22"/>
      <c r="AHW99" s="22"/>
      <c r="AHX99" s="22"/>
      <c r="AHY99" s="22"/>
      <c r="AHZ99" s="22"/>
      <c r="AIA99" s="22"/>
      <c r="AIB99" s="22"/>
      <c r="AIC99" s="22"/>
      <c r="AID99" s="22"/>
      <c r="AIE99" s="22"/>
      <c r="AIF99" s="22"/>
      <c r="AIG99" s="22"/>
      <c r="AIH99" s="22"/>
      <c r="AII99" s="22"/>
      <c r="AIJ99" s="22"/>
      <c r="AIK99" s="22"/>
      <c r="AIL99" s="22"/>
      <c r="AIM99" s="22"/>
      <c r="AIN99" s="22"/>
      <c r="AIO99" s="22"/>
      <c r="AIP99" s="22"/>
      <c r="AIQ99" s="22"/>
      <c r="AIR99" s="22"/>
      <c r="AIS99" s="22"/>
      <c r="AIT99" s="22"/>
      <c r="AIU99" s="22"/>
      <c r="AIV99" s="22"/>
      <c r="AIW99" s="22"/>
      <c r="AIX99" s="22"/>
      <c r="AIY99" s="22"/>
      <c r="AIZ99" s="22"/>
      <c r="AJA99" s="22"/>
      <c r="AJB99" s="22"/>
      <c r="AJC99" s="22"/>
      <c r="AJD99" s="22"/>
      <c r="AJE99" s="22"/>
      <c r="AJF99" s="22"/>
      <c r="AJG99" s="22"/>
      <c r="AJH99" s="22"/>
      <c r="AJI99" s="22"/>
      <c r="AJJ99" s="22"/>
      <c r="AJK99" s="22"/>
      <c r="AJL99" s="22"/>
      <c r="AJM99" s="22"/>
      <c r="AJN99" s="22"/>
      <c r="AJO99" s="22"/>
      <c r="AJP99" s="22"/>
      <c r="AJQ99" s="22"/>
      <c r="AJR99" s="22"/>
      <c r="AJS99" s="22"/>
      <c r="AJT99" s="22"/>
      <c r="AJU99" s="22"/>
      <c r="AJV99" s="22"/>
      <c r="AJW99" s="22"/>
      <c r="AJX99" s="22"/>
      <c r="AJY99" s="22"/>
      <c r="AJZ99" s="22"/>
      <c r="AKA99" s="22"/>
      <c r="AKB99" s="22"/>
      <c r="AKC99" s="22"/>
      <c r="AKD99" s="22"/>
      <c r="AKE99" s="22"/>
      <c r="AKF99" s="22"/>
      <c r="AKG99" s="22"/>
      <c r="AKH99" s="22"/>
      <c r="AKI99" s="22"/>
      <c r="AKJ99" s="22"/>
      <c r="AKK99" s="22"/>
      <c r="AKL99" s="22"/>
      <c r="AKM99" s="22"/>
      <c r="AKN99" s="22"/>
      <c r="AKO99" s="22"/>
      <c r="AKP99" s="22"/>
      <c r="AKQ99" s="22"/>
      <c r="AKR99" s="22"/>
      <c r="AKS99" s="22"/>
      <c r="AKT99" s="22"/>
      <c r="AKU99" s="22"/>
      <c r="AKV99" s="22"/>
      <c r="AKW99" s="22"/>
      <c r="AKX99" s="22"/>
      <c r="AKY99" s="22"/>
      <c r="AKZ99" s="22"/>
      <c r="ALA99" s="22"/>
      <c r="ALB99" s="22"/>
      <c r="ALC99" s="22"/>
      <c r="ALD99" s="22"/>
      <c r="ALE99" s="22"/>
      <c r="ALF99" s="22"/>
      <c r="ALG99" s="22"/>
      <c r="ALH99" s="22"/>
      <c r="ALI99" s="22"/>
      <c r="ALJ99" s="22"/>
      <c r="ALK99" s="22"/>
      <c r="ALL99" s="22"/>
      <c r="ALM99" s="22"/>
      <c r="ALN99" s="22"/>
      <c r="ALO99" s="22"/>
      <c r="ALP99" s="22"/>
      <c r="ALQ99" s="22"/>
      <c r="ALR99" s="22"/>
      <c r="ALS99" s="22"/>
      <c r="ALT99" s="22"/>
      <c r="ALU99" s="22"/>
      <c r="ALV99" s="22"/>
      <c r="ALW99" s="22"/>
      <c r="ALX99" s="22"/>
      <c r="ALY99" s="22"/>
      <c r="ALZ99" s="22"/>
      <c r="AMA99" s="22"/>
      <c r="AMB99" s="22"/>
      <c r="AMC99" s="22"/>
      <c r="AMD99" s="22"/>
      <c r="AME99" s="22"/>
      <c r="AMF99" s="22"/>
      <c r="AMG99" s="22"/>
      <c r="AMH99" s="22"/>
      <c r="AMI99" s="22"/>
      <c r="AMJ99" s="22"/>
      <c r="AMK99" s="22"/>
      <c r="AML99" s="22"/>
      <c r="AMM99" s="22"/>
      <c r="AMN99" s="22"/>
      <c r="AMO99" s="22"/>
      <c r="AMP99" s="22"/>
      <c r="AMQ99" s="22"/>
      <c r="AMR99" s="22"/>
      <c r="AMS99" s="22"/>
      <c r="AMT99" s="22"/>
      <c r="AMU99" s="22"/>
      <c r="AMV99" s="22"/>
      <c r="AMW99" s="22"/>
      <c r="AMX99" s="22"/>
      <c r="AMY99" s="22"/>
      <c r="AMZ99" s="22"/>
      <c r="ANA99" s="22"/>
      <c r="ANB99" s="22"/>
      <c r="ANC99" s="22"/>
      <c r="AND99" s="22"/>
      <c r="ANE99" s="22"/>
      <c r="ANF99" s="22"/>
      <c r="ANG99" s="22"/>
      <c r="ANH99" s="22"/>
      <c r="ANI99" s="22"/>
      <c r="ANJ99" s="22"/>
      <c r="ANK99" s="22"/>
      <c r="ANL99" s="22"/>
      <c r="ANM99" s="22"/>
      <c r="ANN99" s="22"/>
      <c r="ANO99" s="22"/>
      <c r="ANP99" s="22"/>
      <c r="ANQ99" s="22"/>
      <c r="ANR99" s="22"/>
      <c r="ANS99" s="22"/>
      <c r="ANT99" s="22"/>
      <c r="ANU99" s="22"/>
      <c r="ANV99" s="22"/>
      <c r="ANW99" s="22"/>
      <c r="ANX99" s="22"/>
      <c r="ANY99" s="22"/>
      <c r="ANZ99" s="22"/>
      <c r="AOA99" s="22"/>
      <c r="AOB99" s="22"/>
      <c r="AOC99" s="22"/>
      <c r="AOD99" s="22"/>
      <c r="AOE99" s="22"/>
      <c r="AOF99" s="22"/>
      <c r="AOG99" s="22"/>
      <c r="AOH99" s="22"/>
      <c r="AOI99" s="22"/>
      <c r="AOJ99" s="22"/>
      <c r="AOK99" s="22"/>
      <c r="AOL99" s="22"/>
      <c r="AOM99" s="22"/>
      <c r="AON99" s="22"/>
      <c r="AOO99" s="22"/>
      <c r="AOP99" s="22"/>
      <c r="AOQ99" s="22"/>
      <c r="AOR99" s="22"/>
      <c r="AOS99" s="22"/>
      <c r="AOT99" s="22"/>
      <c r="AOU99" s="22"/>
      <c r="AOV99" s="22"/>
      <c r="AOW99" s="22"/>
      <c r="AOX99" s="22"/>
      <c r="AOY99" s="22"/>
      <c r="AOZ99" s="22"/>
      <c r="APA99" s="22"/>
      <c r="APB99" s="22"/>
      <c r="APC99" s="22"/>
      <c r="APD99" s="22"/>
      <c r="APE99" s="22"/>
      <c r="APF99" s="22"/>
      <c r="APG99" s="22"/>
      <c r="APH99" s="22"/>
      <c r="API99" s="22"/>
      <c r="APJ99" s="22"/>
      <c r="APK99" s="22"/>
      <c r="APL99" s="22"/>
      <c r="APM99" s="22"/>
      <c r="APN99" s="22"/>
      <c r="APO99" s="22"/>
      <c r="APP99" s="22"/>
      <c r="APQ99" s="22"/>
      <c r="APR99" s="22"/>
      <c r="APS99" s="22"/>
      <c r="APT99" s="22"/>
      <c r="APU99" s="22"/>
      <c r="APV99" s="22"/>
      <c r="APW99" s="22"/>
      <c r="APX99" s="22"/>
      <c r="APY99" s="22"/>
      <c r="APZ99" s="22"/>
      <c r="AQA99" s="22"/>
      <c r="AQB99" s="22"/>
      <c r="AQC99" s="22"/>
      <c r="AQD99" s="22"/>
      <c r="AQE99" s="22"/>
      <c r="AQF99" s="22"/>
      <c r="AQG99" s="22"/>
      <c r="AQH99" s="22"/>
      <c r="AQI99" s="22"/>
      <c r="AQJ99" s="22"/>
      <c r="AQK99" s="22"/>
      <c r="AQL99" s="22"/>
      <c r="AQM99" s="22"/>
      <c r="AQN99" s="22"/>
      <c r="AQO99" s="22"/>
      <c r="AQP99" s="22"/>
      <c r="AQQ99" s="22"/>
      <c r="AQR99" s="22"/>
      <c r="AQS99" s="22"/>
      <c r="AQT99" s="22"/>
      <c r="AQU99" s="22"/>
      <c r="AQV99" s="22"/>
      <c r="AQW99" s="22"/>
      <c r="AQX99" s="22"/>
      <c r="AQY99" s="22"/>
      <c r="AQZ99" s="22"/>
      <c r="ARA99" s="22"/>
      <c r="ARB99" s="22"/>
      <c r="ARC99" s="22"/>
      <c r="ARD99" s="22"/>
      <c r="ARE99" s="22"/>
      <c r="ARF99" s="22"/>
      <c r="ARG99" s="22"/>
      <c r="ARH99" s="22"/>
      <c r="ARI99" s="22"/>
      <c r="ARJ99" s="22"/>
      <c r="ARK99" s="22"/>
      <c r="ARL99" s="22"/>
      <c r="ARM99" s="22"/>
      <c r="ARN99" s="22"/>
      <c r="ARO99" s="22"/>
      <c r="ARP99" s="22"/>
      <c r="ARQ99" s="22"/>
      <c r="ARR99" s="22"/>
      <c r="ARS99" s="22"/>
      <c r="ART99" s="22"/>
      <c r="ARU99" s="22"/>
      <c r="ARV99" s="22"/>
      <c r="ARW99" s="22"/>
      <c r="ARX99" s="22"/>
      <c r="ARY99" s="22"/>
      <c r="ARZ99" s="22"/>
      <c r="ASA99" s="22"/>
      <c r="ASB99" s="22"/>
      <c r="ASC99" s="22"/>
      <c r="ASD99" s="22"/>
      <c r="ASE99" s="22"/>
      <c r="ASF99" s="22"/>
      <c r="ASG99" s="22"/>
      <c r="ASH99" s="22"/>
      <c r="ASI99" s="22"/>
      <c r="ASJ99" s="22"/>
      <c r="ASK99" s="22"/>
      <c r="ASL99" s="22"/>
      <c r="ASM99" s="22"/>
      <c r="ASN99" s="22"/>
      <c r="ASO99" s="22"/>
      <c r="ASP99" s="22"/>
      <c r="ASQ99" s="22"/>
      <c r="ASR99" s="22"/>
      <c r="ASS99" s="22"/>
      <c r="AST99" s="22"/>
      <c r="ASU99" s="22"/>
      <c r="ASV99" s="22"/>
      <c r="ASW99" s="22"/>
      <c r="ASX99" s="22"/>
      <c r="ASY99" s="22"/>
      <c r="ASZ99" s="22"/>
      <c r="ATA99" s="22"/>
      <c r="ATB99" s="22"/>
      <c r="ATC99" s="22"/>
      <c r="ATD99" s="22"/>
      <c r="ATE99" s="22"/>
      <c r="ATF99" s="22"/>
      <c r="ATG99" s="22"/>
      <c r="ATH99" s="22"/>
      <c r="ATI99" s="22"/>
      <c r="ATJ99" s="22"/>
      <c r="ATK99" s="22"/>
      <c r="ATL99" s="22"/>
      <c r="ATM99" s="22"/>
      <c r="ATN99" s="22"/>
      <c r="ATO99" s="22"/>
      <c r="ATP99" s="22"/>
      <c r="ATQ99" s="22"/>
      <c r="ATR99" s="22"/>
      <c r="ATS99" s="22"/>
      <c r="ATT99" s="22"/>
      <c r="ATU99" s="22"/>
      <c r="ATV99" s="22"/>
      <c r="ATW99" s="22"/>
      <c r="ATX99" s="22"/>
      <c r="ATY99" s="22"/>
      <c r="ATZ99" s="22"/>
      <c r="AUA99" s="22"/>
      <c r="AUB99" s="22"/>
      <c r="AUC99" s="22"/>
      <c r="AUD99" s="22"/>
      <c r="AUE99" s="22"/>
      <c r="AUF99" s="22"/>
      <c r="AUG99" s="22"/>
      <c r="AUH99" s="22"/>
      <c r="AUI99" s="22"/>
      <c r="AUJ99" s="22"/>
      <c r="AUK99" s="22"/>
      <c r="AUL99" s="22"/>
      <c r="AUM99" s="22"/>
      <c r="AUN99" s="22"/>
      <c r="AUO99" s="22"/>
      <c r="AUP99" s="22"/>
      <c r="AUQ99" s="22"/>
      <c r="AUR99" s="22"/>
      <c r="AUS99" s="22"/>
      <c r="AUT99" s="22"/>
      <c r="AUU99" s="22"/>
      <c r="AUV99" s="22"/>
      <c r="AUW99" s="22"/>
      <c r="AUX99" s="22"/>
      <c r="AUY99" s="22"/>
      <c r="AUZ99" s="22"/>
      <c r="AVA99" s="22"/>
      <c r="AVB99" s="22"/>
      <c r="AVC99" s="22"/>
      <c r="AVD99" s="22"/>
      <c r="AVE99" s="22"/>
      <c r="AVF99" s="22"/>
      <c r="AVG99" s="22"/>
      <c r="AVH99" s="22"/>
      <c r="AVI99" s="22"/>
      <c r="AVJ99" s="22"/>
      <c r="AVK99" s="22"/>
      <c r="AVL99" s="22"/>
      <c r="AVM99" s="22"/>
      <c r="AVN99" s="22"/>
      <c r="AVO99" s="22"/>
      <c r="AVP99" s="22"/>
      <c r="AVQ99" s="22"/>
      <c r="AVR99" s="22"/>
      <c r="AVS99" s="22"/>
      <c r="AVT99" s="22"/>
      <c r="AVU99" s="22"/>
      <c r="AVV99" s="22"/>
      <c r="AVW99" s="22"/>
      <c r="AVX99" s="22"/>
      <c r="AVY99" s="22"/>
      <c r="AVZ99" s="22"/>
      <c r="AWA99" s="22"/>
      <c r="AWB99" s="22"/>
      <c r="AWC99" s="22"/>
      <c r="AWD99" s="22"/>
      <c r="AWE99" s="22"/>
      <c r="AWF99" s="22"/>
      <c r="AWG99" s="22"/>
      <c r="AWH99" s="22"/>
      <c r="AWI99" s="22"/>
      <c r="AWJ99" s="22"/>
      <c r="AWK99" s="22"/>
      <c r="AWL99" s="22"/>
      <c r="AWM99" s="22"/>
      <c r="AWN99" s="22"/>
      <c r="AWO99" s="22"/>
      <c r="AWP99" s="22"/>
      <c r="AWQ99" s="22"/>
      <c r="AWR99" s="22"/>
      <c r="AWS99" s="22"/>
      <c r="AWT99" s="22"/>
      <c r="AWU99" s="22"/>
      <c r="AWV99" s="22"/>
      <c r="AWW99" s="22"/>
      <c r="AWX99" s="22"/>
      <c r="AWY99" s="22"/>
      <c r="AWZ99" s="22"/>
      <c r="AXA99" s="22"/>
      <c r="AXB99" s="22"/>
      <c r="AXC99" s="22"/>
      <c r="AXD99" s="22"/>
      <c r="AXE99" s="22"/>
      <c r="AXF99" s="22"/>
      <c r="AXG99" s="22"/>
      <c r="AXH99" s="22"/>
      <c r="AXI99" s="22"/>
      <c r="AXJ99" s="22"/>
      <c r="AXK99" s="22"/>
      <c r="AXL99" s="22"/>
      <c r="AXM99" s="22"/>
      <c r="AXN99" s="22"/>
      <c r="AXO99" s="22"/>
      <c r="AXP99" s="22"/>
      <c r="AXQ99" s="22"/>
      <c r="AXR99" s="22"/>
      <c r="AXS99" s="22"/>
      <c r="AXT99" s="22"/>
      <c r="AXU99" s="22"/>
      <c r="AXV99" s="22"/>
      <c r="AXW99" s="22"/>
      <c r="AXX99" s="22"/>
      <c r="AXY99" s="22"/>
      <c r="AXZ99" s="22"/>
      <c r="AYA99" s="22"/>
      <c r="AYB99" s="22"/>
      <c r="AYC99" s="22"/>
      <c r="AYD99" s="22"/>
      <c r="AYE99" s="22"/>
      <c r="AYF99" s="22"/>
      <c r="AYG99" s="22"/>
      <c r="AYH99" s="22"/>
      <c r="AYI99" s="22"/>
      <c r="AYJ99" s="22"/>
      <c r="AYK99" s="22"/>
      <c r="AYL99" s="22"/>
      <c r="AYM99" s="22"/>
      <c r="AYN99" s="22"/>
      <c r="AYO99" s="22"/>
      <c r="AYP99" s="22"/>
      <c r="AYQ99" s="22"/>
      <c r="AYR99" s="22"/>
      <c r="AYS99" s="22"/>
      <c r="AYT99" s="22"/>
      <c r="AYU99" s="22"/>
      <c r="AYV99" s="22"/>
      <c r="AYW99" s="22"/>
      <c r="AYX99" s="22"/>
      <c r="AYY99" s="22"/>
      <c r="AYZ99" s="22"/>
      <c r="AZA99" s="22"/>
      <c r="AZB99" s="22"/>
      <c r="AZC99" s="22"/>
      <c r="AZD99" s="22"/>
      <c r="AZE99" s="22"/>
      <c r="AZF99" s="22"/>
      <c r="AZG99" s="22"/>
      <c r="AZH99" s="22"/>
      <c r="AZI99" s="22"/>
      <c r="AZJ99" s="22"/>
      <c r="AZK99" s="22"/>
      <c r="AZL99" s="22"/>
      <c r="AZM99" s="22"/>
      <c r="AZN99" s="22"/>
      <c r="AZO99" s="22"/>
      <c r="AZP99" s="22"/>
      <c r="AZQ99" s="22"/>
      <c r="AZR99" s="22"/>
      <c r="AZS99" s="22"/>
      <c r="AZT99" s="22"/>
      <c r="AZU99" s="22"/>
      <c r="AZV99" s="22"/>
      <c r="AZW99" s="22"/>
      <c r="AZX99" s="22"/>
      <c r="AZY99" s="22"/>
      <c r="AZZ99" s="22"/>
      <c r="BAA99" s="22"/>
      <c r="BAB99" s="22"/>
      <c r="BAC99" s="22"/>
      <c r="BAD99" s="22"/>
      <c r="BAE99" s="22"/>
      <c r="BAF99" s="22"/>
      <c r="BAG99" s="22"/>
      <c r="BAH99" s="22"/>
      <c r="BAI99" s="22"/>
      <c r="BAJ99" s="22"/>
      <c r="BAK99" s="22"/>
      <c r="BAL99" s="22"/>
      <c r="BAM99" s="22"/>
      <c r="BAN99" s="22"/>
      <c r="BAO99" s="22"/>
      <c r="BAP99" s="22"/>
      <c r="BAQ99" s="22"/>
      <c r="BAR99" s="22"/>
      <c r="BAS99" s="22"/>
      <c r="BAT99" s="22"/>
      <c r="BAU99" s="22"/>
      <c r="BAV99" s="22"/>
      <c r="BAW99" s="22"/>
      <c r="BAX99" s="22"/>
      <c r="BAY99" s="22"/>
      <c r="BAZ99" s="22"/>
      <c r="BBA99" s="22"/>
      <c r="BBB99" s="22"/>
      <c r="BBC99" s="22"/>
      <c r="BBD99" s="22"/>
      <c r="BBE99" s="22"/>
      <c r="BBF99" s="22"/>
      <c r="BBG99" s="22"/>
      <c r="BBH99" s="22"/>
      <c r="BBI99" s="22"/>
      <c r="BBJ99" s="22"/>
      <c r="BBK99" s="22"/>
      <c r="BBL99" s="22"/>
      <c r="BBM99" s="22"/>
      <c r="BBN99" s="22"/>
      <c r="BBO99" s="22"/>
      <c r="BBP99" s="22"/>
      <c r="BBQ99" s="22"/>
      <c r="BBR99" s="22"/>
      <c r="BBS99" s="22"/>
      <c r="BBT99" s="22"/>
      <c r="BBU99" s="22"/>
      <c r="BBV99" s="22"/>
      <c r="BBW99" s="22"/>
      <c r="BBX99" s="22"/>
      <c r="BBY99" s="22"/>
      <c r="BBZ99" s="22"/>
      <c r="BCA99" s="22"/>
      <c r="BCB99" s="22"/>
      <c r="BCC99" s="22"/>
      <c r="BCD99" s="22"/>
      <c r="BCE99" s="22"/>
      <c r="BCF99" s="22"/>
      <c r="BCG99" s="22"/>
      <c r="BCH99" s="22"/>
      <c r="BCI99" s="22"/>
      <c r="BCJ99" s="22"/>
      <c r="BCK99" s="22"/>
      <c r="BCL99" s="22"/>
      <c r="BCM99" s="22"/>
      <c r="BCN99" s="22"/>
      <c r="BCO99" s="22"/>
      <c r="BCP99" s="22"/>
      <c r="BCQ99" s="22"/>
      <c r="BCR99" s="22"/>
      <c r="BCS99" s="22"/>
      <c r="BCT99" s="22"/>
      <c r="BCU99" s="22"/>
      <c r="BCV99" s="22"/>
      <c r="BCW99" s="22"/>
      <c r="BCX99" s="22"/>
      <c r="BCY99" s="22"/>
      <c r="BCZ99" s="22"/>
      <c r="BDA99" s="22"/>
      <c r="BDB99" s="22"/>
      <c r="BDC99" s="22"/>
      <c r="BDD99" s="22"/>
      <c r="BDE99" s="22"/>
      <c r="BDF99" s="22"/>
      <c r="BDG99" s="22"/>
      <c r="BDH99" s="22"/>
      <c r="BDI99" s="22"/>
      <c r="BDJ99" s="22"/>
      <c r="BDK99" s="22"/>
      <c r="BDL99" s="22"/>
      <c r="BDM99" s="22"/>
      <c r="BDN99" s="22"/>
      <c r="BDO99" s="22"/>
      <c r="BDP99" s="22"/>
      <c r="BDQ99" s="22"/>
      <c r="BDR99" s="22"/>
      <c r="BDS99" s="22"/>
      <c r="BDT99" s="22"/>
      <c r="BDU99" s="22"/>
      <c r="BDV99" s="22"/>
      <c r="BDW99" s="22"/>
      <c r="BDX99" s="22"/>
      <c r="BDY99" s="22"/>
      <c r="BDZ99" s="22"/>
      <c r="BEA99" s="22"/>
      <c r="BEB99" s="22"/>
      <c r="BEC99" s="22"/>
      <c r="BED99" s="22"/>
      <c r="BEE99" s="22"/>
      <c r="BEF99" s="22"/>
      <c r="BEG99" s="22"/>
      <c r="BEH99" s="22"/>
      <c r="BEI99" s="22"/>
      <c r="BEJ99" s="22"/>
      <c r="BEK99" s="22"/>
      <c r="BEL99" s="22"/>
      <c r="BEM99" s="22"/>
      <c r="BEN99" s="22"/>
      <c r="BEO99" s="22"/>
      <c r="BEP99" s="22"/>
      <c r="BEQ99" s="22"/>
      <c r="BER99" s="22"/>
      <c r="BES99" s="22"/>
      <c r="BET99" s="22"/>
      <c r="BEU99" s="22"/>
      <c r="BEV99" s="22"/>
      <c r="BEW99" s="22"/>
      <c r="BEX99" s="22"/>
      <c r="BEY99" s="22"/>
      <c r="BEZ99" s="22"/>
      <c r="BFA99" s="22"/>
      <c r="BFB99" s="22"/>
      <c r="BFC99" s="22"/>
      <c r="BFD99" s="22"/>
      <c r="BFE99" s="22"/>
      <c r="BFF99" s="22"/>
      <c r="BFG99" s="22"/>
      <c r="BFH99" s="22"/>
      <c r="BFI99" s="22"/>
      <c r="BFJ99" s="22"/>
      <c r="BFK99" s="22"/>
      <c r="BFL99" s="22"/>
      <c r="BFM99" s="22"/>
      <c r="BFN99" s="22"/>
      <c r="BFO99" s="22"/>
      <c r="BFP99" s="22"/>
      <c r="BFQ99" s="22"/>
      <c r="BFR99" s="22"/>
      <c r="BFS99" s="22"/>
      <c r="BFT99" s="22"/>
      <c r="BFU99" s="22"/>
      <c r="BFV99" s="22"/>
      <c r="BFW99" s="22"/>
    </row>
    <row r="100" spans="1:1531" s="22" customFormat="1" ht="30.6" customHeight="1" thickBot="1" x14ac:dyDescent="0.25">
      <c r="A100" s="446" t="s">
        <v>559</v>
      </c>
      <c r="B100" s="447"/>
      <c r="C100" s="447"/>
      <c r="D100" s="352"/>
      <c r="E100" s="349"/>
      <c r="F100" s="351"/>
      <c r="G100" s="349"/>
      <c r="H100" s="351"/>
      <c r="I100" s="351"/>
      <c r="J100" s="352"/>
      <c r="K100" s="351"/>
      <c r="L100" s="352"/>
      <c r="M100" s="352"/>
      <c r="N100" s="352"/>
      <c r="O100" s="352"/>
      <c r="P100" s="367"/>
      <c r="Q100" s="352"/>
      <c r="R100" s="352"/>
      <c r="S100" s="368"/>
      <c r="T100" s="352"/>
      <c r="U100" s="352"/>
      <c r="V100" s="352"/>
      <c r="W100" s="352"/>
      <c r="X100" s="352"/>
      <c r="Y100" s="369">
        <f>SUM(Y14:Y99)</f>
        <v>2129</v>
      </c>
      <c r="Z100" s="352"/>
      <c r="AA100" s="370">
        <f>SUM(AA14:AA99)</f>
        <v>322820</v>
      </c>
      <c r="AB100" s="352"/>
      <c r="AC100" s="369">
        <f>SUM(AC14:AC99)</f>
        <v>2143</v>
      </c>
      <c r="AD100" s="352"/>
      <c r="AE100" s="370">
        <f>SUM(AE14:AE99)</f>
        <v>301670</v>
      </c>
      <c r="AF100" s="369">
        <f>SUM(AF14:AF99)</f>
        <v>2379</v>
      </c>
      <c r="AG100" s="352"/>
      <c r="AH100" s="370">
        <f>SUM(AH14:AH99)</f>
        <v>320980</v>
      </c>
      <c r="AI100" s="369">
        <f>SUM(AI14:AI99)</f>
        <v>1662</v>
      </c>
      <c r="AJ100" s="352"/>
      <c r="AK100" s="370">
        <f>SUM(AK2:AK99)</f>
        <v>2002680</v>
      </c>
      <c r="AL100" s="369">
        <f>SUM(AL2:AL99)</f>
        <v>2175</v>
      </c>
      <c r="AM100" s="352"/>
      <c r="AN100" s="370">
        <f>SUM(AN2:AO99)</f>
        <v>1729939</v>
      </c>
      <c r="AO100" s="371"/>
      <c r="AP100" s="371"/>
      <c r="AQ100" s="371"/>
      <c r="AR100" s="371"/>
      <c r="AS100" s="371"/>
      <c r="AT100" s="371"/>
      <c r="AU100" s="372"/>
    </row>
    <row r="101" spans="1:1531" s="23" customFormat="1" ht="46.15" customHeight="1" thickTop="1" x14ac:dyDescent="0.2">
      <c r="A101" s="439"/>
      <c r="B101" s="439"/>
      <c r="C101" s="439"/>
      <c r="D101" s="439"/>
      <c r="E101" s="439"/>
      <c r="F101" s="439"/>
      <c r="G101" s="439"/>
      <c r="H101" s="126"/>
      <c r="I101" s="126"/>
      <c r="J101" s="127"/>
      <c r="K101" s="126"/>
      <c r="L101" s="127"/>
      <c r="M101" s="127"/>
      <c r="N101" s="127"/>
      <c r="O101" s="127"/>
      <c r="P101" s="171"/>
      <c r="Q101" s="127"/>
      <c r="R101" s="127"/>
      <c r="S101" s="136"/>
      <c r="T101" s="127"/>
      <c r="U101" s="127"/>
      <c r="V101" s="127"/>
      <c r="W101" s="127"/>
      <c r="X101" s="127"/>
      <c r="Y101" s="154"/>
      <c r="Z101" s="127"/>
      <c r="AA101" s="136"/>
      <c r="AB101" s="127"/>
      <c r="AC101" s="127"/>
      <c r="AD101" s="127"/>
      <c r="AE101" s="127"/>
      <c r="AF101" s="127"/>
      <c r="AG101" s="127"/>
      <c r="AH101" s="127"/>
      <c r="AI101" s="127"/>
      <c r="AJ101" s="127"/>
      <c r="AK101" s="127"/>
      <c r="AL101" s="127"/>
      <c r="AM101" s="127"/>
      <c r="AN101" s="127"/>
      <c r="AU101" s="155"/>
    </row>
    <row r="102" spans="1:1531" s="23" customFormat="1" ht="46.15" customHeight="1" x14ac:dyDescent="0.2">
      <c r="A102" s="125"/>
      <c r="B102" s="124"/>
      <c r="C102" s="126"/>
      <c r="D102" s="127"/>
      <c r="E102" s="128"/>
      <c r="F102" s="126"/>
      <c r="G102" s="128"/>
      <c r="H102" s="126"/>
      <c r="I102" s="126"/>
      <c r="J102" s="127"/>
      <c r="K102" s="126"/>
      <c r="L102" s="127"/>
      <c r="M102" s="127"/>
      <c r="N102" s="127"/>
      <c r="O102" s="127"/>
      <c r="P102" s="171"/>
      <c r="Q102" s="127"/>
      <c r="R102" s="127"/>
      <c r="S102" s="136"/>
      <c r="T102" s="127"/>
      <c r="U102" s="127"/>
      <c r="V102" s="127"/>
      <c r="W102" s="127"/>
      <c r="X102" s="127"/>
      <c r="Y102" s="154"/>
      <c r="Z102" s="127"/>
      <c r="AA102" s="136"/>
      <c r="AB102" s="127"/>
      <c r="AC102" s="127"/>
      <c r="AD102" s="127"/>
      <c r="AE102" s="127"/>
      <c r="AF102" s="127"/>
      <c r="AG102" s="127"/>
      <c r="AH102" s="127"/>
      <c r="AI102" s="127"/>
      <c r="AJ102" s="127"/>
      <c r="AK102" s="127"/>
      <c r="AL102" s="127"/>
      <c r="AM102" s="127"/>
      <c r="AN102" s="127"/>
      <c r="AU102" s="155"/>
    </row>
    <row r="103" spans="1:1531" s="22" customFormat="1" ht="46.15" customHeight="1" x14ac:dyDescent="0.2">
      <c r="A103" s="125"/>
      <c r="B103" s="124"/>
      <c r="C103" s="126"/>
      <c r="D103" s="127"/>
      <c r="E103" s="128"/>
      <c r="F103" s="126"/>
      <c r="G103" s="128"/>
      <c r="H103" s="126"/>
      <c r="I103" s="126"/>
      <c r="J103" s="127"/>
      <c r="K103" s="126"/>
      <c r="L103" s="127"/>
      <c r="M103" s="127"/>
      <c r="N103" s="127"/>
      <c r="O103" s="127"/>
      <c r="P103" s="171"/>
      <c r="Q103" s="127"/>
      <c r="R103" s="127"/>
      <c r="S103" s="136"/>
      <c r="T103" s="127"/>
      <c r="U103" s="127"/>
      <c r="V103" s="127"/>
      <c r="W103" s="127"/>
      <c r="X103" s="127"/>
      <c r="Y103" s="154"/>
      <c r="Z103" s="127"/>
      <c r="AA103" s="136"/>
      <c r="AB103" s="127"/>
      <c r="AC103" s="127"/>
      <c r="AD103" s="127"/>
      <c r="AE103" s="127"/>
      <c r="AF103" s="127"/>
      <c r="AG103" s="127"/>
      <c r="AH103" s="127"/>
      <c r="AI103" s="127"/>
      <c r="AJ103" s="127"/>
      <c r="AK103" s="127"/>
      <c r="AL103" s="127"/>
      <c r="AM103" s="127"/>
      <c r="AN103" s="127"/>
      <c r="AU103" s="155"/>
    </row>
    <row r="104" spans="1:1531" s="22" customFormat="1" ht="46.15" customHeight="1" x14ac:dyDescent="0.2">
      <c r="A104" s="125"/>
      <c r="B104" s="124"/>
      <c r="C104" s="126"/>
      <c r="D104" s="127"/>
      <c r="E104" s="128"/>
      <c r="F104" s="126"/>
      <c r="G104" s="128"/>
      <c r="H104" s="126"/>
      <c r="I104" s="126"/>
      <c r="J104" s="127"/>
      <c r="K104" s="126"/>
      <c r="L104" s="127"/>
      <c r="M104" s="127"/>
      <c r="N104" s="127"/>
      <c r="O104" s="127"/>
      <c r="P104" s="171"/>
      <c r="Q104" s="127"/>
      <c r="R104" s="127"/>
      <c r="S104" s="136"/>
      <c r="T104" s="127"/>
      <c r="U104" s="127"/>
      <c r="V104" s="127"/>
      <c r="W104" s="127"/>
      <c r="X104" s="127"/>
      <c r="Y104" s="154"/>
      <c r="Z104" s="127"/>
      <c r="AA104" s="136"/>
      <c r="AB104" s="127"/>
      <c r="AC104" s="127"/>
      <c r="AD104" s="127"/>
      <c r="AE104" s="127"/>
      <c r="AF104" s="127"/>
      <c r="AG104" s="127"/>
      <c r="AH104" s="127"/>
      <c r="AI104" s="127"/>
      <c r="AJ104" s="127"/>
      <c r="AK104" s="127"/>
      <c r="AL104" s="127"/>
      <c r="AM104" s="127"/>
      <c r="AN104" s="127"/>
      <c r="AU104" s="155"/>
    </row>
    <row r="105" spans="1:1531" s="22" customFormat="1" ht="46.15" customHeight="1" x14ac:dyDescent="0.2">
      <c r="A105" s="125"/>
      <c r="B105" s="124"/>
      <c r="C105" s="126"/>
      <c r="D105" s="127"/>
      <c r="E105" s="128"/>
      <c r="F105" s="126"/>
      <c r="G105" s="128"/>
      <c r="H105" s="126"/>
      <c r="I105" s="126"/>
      <c r="J105" s="127"/>
      <c r="K105" s="126"/>
      <c r="L105" s="127"/>
      <c r="M105" s="127"/>
      <c r="N105" s="127"/>
      <c r="O105" s="127"/>
      <c r="P105" s="171"/>
      <c r="Q105" s="127"/>
      <c r="R105" s="127"/>
      <c r="S105" s="136"/>
      <c r="T105" s="127"/>
      <c r="U105" s="127"/>
      <c r="V105" s="127"/>
      <c r="W105" s="127"/>
      <c r="X105" s="127"/>
      <c r="Y105" s="154"/>
      <c r="Z105" s="127"/>
      <c r="AA105" s="136"/>
      <c r="AB105" s="127"/>
      <c r="AC105" s="127"/>
      <c r="AD105" s="127"/>
      <c r="AE105" s="127"/>
      <c r="AF105" s="127"/>
      <c r="AG105" s="127"/>
      <c r="AH105" s="127"/>
      <c r="AI105" s="127"/>
      <c r="AJ105" s="127"/>
      <c r="AK105" s="127"/>
      <c r="AL105" s="127"/>
      <c r="AM105" s="127"/>
      <c r="AN105" s="127"/>
      <c r="AU105" s="155"/>
    </row>
    <row r="106" spans="1:1531" s="22" customFormat="1" ht="46.15" customHeight="1" x14ac:dyDescent="0.2">
      <c r="A106" s="125"/>
      <c r="B106" s="129"/>
      <c r="C106" s="126"/>
      <c r="D106" s="127"/>
      <c r="E106" s="128"/>
      <c r="F106" s="126"/>
      <c r="G106" s="128"/>
      <c r="H106" s="126"/>
      <c r="I106" s="126"/>
      <c r="J106" s="127"/>
      <c r="K106" s="126"/>
      <c r="L106" s="127"/>
      <c r="M106" s="127"/>
      <c r="N106" s="127"/>
      <c r="O106" s="127"/>
      <c r="P106" s="171"/>
      <c r="Q106" s="127"/>
      <c r="R106" s="127"/>
      <c r="S106" s="136"/>
      <c r="T106" s="127"/>
      <c r="U106" s="127"/>
      <c r="V106" s="127"/>
      <c r="W106" s="127"/>
      <c r="X106" s="127"/>
      <c r="Y106" s="154"/>
      <c r="Z106" s="127"/>
      <c r="AA106" s="136"/>
      <c r="AB106" s="127"/>
      <c r="AC106" s="127"/>
      <c r="AD106" s="127"/>
      <c r="AE106" s="127"/>
      <c r="AF106" s="127"/>
      <c r="AG106" s="127"/>
      <c r="AH106" s="127"/>
      <c r="AI106" s="127"/>
      <c r="AJ106" s="127"/>
      <c r="AK106" s="127"/>
      <c r="AL106" s="127"/>
      <c r="AM106" s="127"/>
      <c r="AN106" s="127"/>
      <c r="AU106" s="155"/>
    </row>
    <row r="107" spans="1:1531" s="22" customFormat="1" ht="46.15" customHeight="1" x14ac:dyDescent="0.2">
      <c r="A107" s="125"/>
      <c r="B107" s="129"/>
      <c r="C107" s="126"/>
      <c r="D107" s="127"/>
      <c r="E107" s="128"/>
      <c r="F107" s="126"/>
      <c r="G107" s="128"/>
      <c r="H107" s="126"/>
      <c r="I107" s="126"/>
      <c r="J107" s="127"/>
      <c r="K107" s="126"/>
      <c r="L107" s="127"/>
      <c r="M107" s="127"/>
      <c r="N107" s="127"/>
      <c r="O107" s="127"/>
      <c r="P107" s="171"/>
      <c r="Q107" s="127"/>
      <c r="R107" s="127"/>
      <c r="S107" s="136"/>
      <c r="T107" s="127"/>
      <c r="U107" s="127"/>
      <c r="V107" s="127"/>
      <c r="W107" s="127"/>
      <c r="X107" s="127"/>
      <c r="Y107" s="154"/>
      <c r="Z107" s="127"/>
      <c r="AA107" s="136"/>
      <c r="AB107" s="127"/>
      <c r="AC107" s="127"/>
      <c r="AD107" s="127"/>
      <c r="AE107" s="127"/>
      <c r="AF107" s="127"/>
      <c r="AG107" s="127"/>
      <c r="AH107" s="127"/>
      <c r="AI107" s="127"/>
      <c r="AJ107" s="127"/>
      <c r="AK107" s="127"/>
      <c r="AL107" s="127"/>
      <c r="AM107" s="127"/>
      <c r="AN107" s="127"/>
      <c r="AU107" s="155"/>
    </row>
    <row r="108" spans="1:1531" s="22" customFormat="1" ht="46.15" customHeight="1" x14ac:dyDescent="0.2">
      <c r="A108" s="125"/>
      <c r="B108" s="124"/>
      <c r="C108" s="126"/>
      <c r="D108" s="127"/>
      <c r="E108" s="128"/>
      <c r="F108" s="126"/>
      <c r="G108" s="128"/>
      <c r="H108" s="126"/>
      <c r="I108" s="126"/>
      <c r="J108" s="127"/>
      <c r="K108" s="126"/>
      <c r="L108" s="127"/>
      <c r="M108" s="126"/>
      <c r="N108" s="127"/>
      <c r="O108" s="127"/>
      <c r="P108" s="171"/>
      <c r="Q108" s="127"/>
      <c r="R108" s="127"/>
      <c r="S108" s="136"/>
      <c r="T108" s="127"/>
      <c r="U108" s="127"/>
      <c r="V108" s="127"/>
      <c r="W108" s="127"/>
      <c r="X108" s="127"/>
      <c r="Y108" s="154"/>
      <c r="Z108" s="127"/>
      <c r="AA108" s="136"/>
      <c r="AB108" s="127"/>
      <c r="AC108" s="127"/>
      <c r="AD108" s="127"/>
      <c r="AE108" s="127"/>
      <c r="AF108" s="127"/>
      <c r="AG108" s="127"/>
      <c r="AH108" s="127"/>
      <c r="AI108" s="127"/>
      <c r="AJ108" s="127"/>
      <c r="AK108" s="127"/>
      <c r="AL108" s="127"/>
      <c r="AM108" s="127"/>
      <c r="AN108" s="127"/>
      <c r="AU108" s="155"/>
    </row>
    <row r="109" spans="1:1531" s="23" customFormat="1" ht="46.15" customHeight="1" x14ac:dyDescent="0.2">
      <c r="A109" s="125"/>
      <c r="B109" s="124"/>
      <c r="C109" s="126"/>
      <c r="D109" s="127"/>
      <c r="E109" s="128"/>
      <c r="F109" s="126"/>
      <c r="G109" s="128"/>
      <c r="H109" s="126"/>
      <c r="I109" s="126"/>
      <c r="J109" s="127"/>
      <c r="K109" s="126"/>
      <c r="L109" s="127"/>
      <c r="M109" s="127"/>
      <c r="N109" s="127"/>
      <c r="O109" s="127"/>
      <c r="P109" s="171"/>
      <c r="Q109" s="127"/>
      <c r="R109" s="127"/>
      <c r="S109" s="136"/>
      <c r="T109" s="127"/>
      <c r="U109" s="127"/>
      <c r="V109" s="127"/>
      <c r="W109" s="127"/>
      <c r="X109" s="127"/>
      <c r="Y109" s="154"/>
      <c r="Z109" s="127"/>
      <c r="AA109" s="136"/>
      <c r="AB109" s="127"/>
      <c r="AC109" s="127"/>
      <c r="AD109" s="127"/>
      <c r="AE109" s="127"/>
      <c r="AF109" s="127"/>
      <c r="AG109" s="127"/>
      <c r="AH109" s="127"/>
      <c r="AI109" s="127"/>
      <c r="AJ109" s="127"/>
      <c r="AK109" s="127"/>
      <c r="AL109" s="127"/>
      <c r="AM109" s="127"/>
      <c r="AN109" s="127"/>
      <c r="AU109" s="155"/>
    </row>
    <row r="110" spans="1:1531" s="22" customFormat="1" ht="46.15" customHeight="1" x14ac:dyDescent="0.2">
      <c r="A110" s="125"/>
      <c r="B110" s="124"/>
      <c r="C110" s="126"/>
      <c r="D110" s="127"/>
      <c r="E110" s="128"/>
      <c r="F110" s="126"/>
      <c r="G110" s="128"/>
      <c r="H110" s="126"/>
      <c r="I110" s="126"/>
      <c r="J110" s="127"/>
      <c r="K110" s="126"/>
      <c r="L110" s="127"/>
      <c r="M110" s="127"/>
      <c r="N110" s="127"/>
      <c r="O110" s="127"/>
      <c r="P110" s="171"/>
      <c r="Q110" s="127"/>
      <c r="R110" s="127"/>
      <c r="S110" s="136"/>
      <c r="T110" s="127"/>
      <c r="U110" s="127"/>
      <c r="V110" s="127"/>
      <c r="W110" s="127"/>
      <c r="X110" s="127"/>
      <c r="Y110" s="154"/>
      <c r="Z110" s="127"/>
      <c r="AA110" s="136"/>
      <c r="AB110" s="127"/>
      <c r="AC110" s="127"/>
      <c r="AD110" s="127"/>
      <c r="AE110" s="127"/>
      <c r="AF110" s="127"/>
      <c r="AG110" s="127"/>
      <c r="AH110" s="127"/>
      <c r="AI110" s="127"/>
      <c r="AJ110" s="127"/>
      <c r="AK110" s="127"/>
      <c r="AL110" s="127"/>
      <c r="AM110" s="127"/>
      <c r="AN110" s="127"/>
      <c r="AU110" s="155"/>
    </row>
    <row r="111" spans="1:1531" s="23" customFormat="1" ht="46.15" customHeight="1" x14ac:dyDescent="0.2">
      <c r="A111" s="125"/>
      <c r="B111" s="124"/>
      <c r="C111" s="126"/>
      <c r="D111" s="127"/>
      <c r="E111" s="128"/>
      <c r="F111" s="126"/>
      <c r="G111" s="128"/>
      <c r="H111" s="126"/>
      <c r="I111" s="126"/>
      <c r="J111" s="127"/>
      <c r="K111" s="126"/>
      <c r="L111" s="127"/>
      <c r="M111" s="127"/>
      <c r="N111" s="127"/>
      <c r="O111" s="127"/>
      <c r="P111" s="171"/>
      <c r="Q111" s="127"/>
      <c r="R111" s="127"/>
      <c r="S111" s="136"/>
      <c r="T111" s="127"/>
      <c r="U111" s="127"/>
      <c r="V111" s="127"/>
      <c r="W111" s="127"/>
      <c r="X111" s="127"/>
      <c r="Y111" s="154"/>
      <c r="Z111" s="127"/>
      <c r="AA111" s="136"/>
      <c r="AB111" s="127"/>
      <c r="AC111" s="127"/>
      <c r="AD111" s="127"/>
      <c r="AE111" s="127"/>
      <c r="AF111" s="127"/>
      <c r="AG111" s="127"/>
      <c r="AH111" s="127"/>
      <c r="AI111" s="127"/>
      <c r="AJ111" s="127"/>
      <c r="AK111" s="127"/>
      <c r="AL111" s="127"/>
      <c r="AM111" s="127"/>
      <c r="AN111" s="127"/>
      <c r="AU111" s="155"/>
    </row>
    <row r="112" spans="1:1531" s="23" customFormat="1" ht="46.15" customHeight="1" x14ac:dyDescent="0.2">
      <c r="A112" s="125"/>
      <c r="B112" s="124"/>
      <c r="C112" s="126"/>
      <c r="D112" s="127"/>
      <c r="E112" s="128"/>
      <c r="F112" s="126"/>
      <c r="G112" s="128"/>
      <c r="H112" s="126"/>
      <c r="I112" s="126"/>
      <c r="J112" s="127"/>
      <c r="K112" s="126"/>
      <c r="L112" s="127"/>
      <c r="M112" s="127"/>
      <c r="N112" s="127"/>
      <c r="O112" s="127"/>
      <c r="P112" s="171"/>
      <c r="Q112" s="127"/>
      <c r="R112" s="127"/>
      <c r="S112" s="136"/>
      <c r="T112" s="127"/>
      <c r="U112" s="127"/>
      <c r="V112" s="127"/>
      <c r="W112" s="127"/>
      <c r="X112" s="127"/>
      <c r="Y112" s="154"/>
      <c r="Z112" s="127"/>
      <c r="AA112" s="136"/>
      <c r="AB112" s="127"/>
      <c r="AC112" s="127"/>
      <c r="AD112" s="127"/>
      <c r="AE112" s="127"/>
      <c r="AF112" s="127"/>
      <c r="AG112" s="127"/>
      <c r="AH112" s="127"/>
      <c r="AI112" s="127"/>
      <c r="AJ112" s="127"/>
      <c r="AK112" s="127"/>
      <c r="AL112" s="127"/>
      <c r="AM112" s="127"/>
      <c r="AN112" s="127"/>
      <c r="AU112" s="155"/>
    </row>
    <row r="113" spans="1:47" s="22" customFormat="1" ht="46.15" customHeight="1" x14ac:dyDescent="0.2">
      <c r="A113" s="125"/>
      <c r="B113" s="124"/>
      <c r="C113" s="126"/>
      <c r="D113" s="127"/>
      <c r="E113" s="128"/>
      <c r="F113" s="126"/>
      <c r="G113" s="128"/>
      <c r="H113" s="126"/>
      <c r="I113" s="126"/>
      <c r="J113" s="127"/>
      <c r="K113" s="126"/>
      <c r="L113" s="127"/>
      <c r="M113" s="127"/>
      <c r="N113" s="127"/>
      <c r="O113" s="127"/>
      <c r="P113" s="171"/>
      <c r="Q113" s="127"/>
      <c r="R113" s="127"/>
      <c r="S113" s="136"/>
      <c r="T113" s="127"/>
      <c r="U113" s="127"/>
      <c r="V113" s="127"/>
      <c r="W113" s="127"/>
      <c r="X113" s="127"/>
      <c r="Y113" s="154"/>
      <c r="Z113" s="127"/>
      <c r="AA113" s="136"/>
      <c r="AB113" s="127"/>
      <c r="AC113" s="127"/>
      <c r="AD113" s="127"/>
      <c r="AE113" s="127"/>
      <c r="AF113" s="127"/>
      <c r="AG113" s="127"/>
      <c r="AH113" s="127"/>
      <c r="AI113" s="127"/>
      <c r="AJ113" s="127"/>
      <c r="AK113" s="127"/>
      <c r="AL113" s="127"/>
      <c r="AM113" s="127"/>
      <c r="AN113" s="127"/>
      <c r="AU113" s="155"/>
    </row>
    <row r="114" spans="1:47" s="23" customFormat="1" ht="46.15" customHeight="1" x14ac:dyDescent="0.2">
      <c r="A114" s="125"/>
      <c r="B114" s="129"/>
      <c r="C114" s="126"/>
      <c r="D114" s="127"/>
      <c r="E114" s="128"/>
      <c r="F114" s="126"/>
      <c r="G114" s="128"/>
      <c r="H114" s="126"/>
      <c r="I114" s="126"/>
      <c r="J114" s="127"/>
      <c r="K114" s="126"/>
      <c r="L114" s="127"/>
      <c r="M114" s="127"/>
      <c r="N114" s="127"/>
      <c r="O114" s="127"/>
      <c r="P114" s="171"/>
      <c r="Q114" s="127"/>
      <c r="R114" s="127"/>
      <c r="S114" s="136"/>
      <c r="T114" s="127"/>
      <c r="U114" s="127"/>
      <c r="V114" s="127"/>
      <c r="W114" s="127"/>
      <c r="X114" s="127"/>
      <c r="Y114" s="154"/>
      <c r="Z114" s="127"/>
      <c r="AA114" s="136"/>
      <c r="AB114" s="127"/>
      <c r="AC114" s="127"/>
      <c r="AD114" s="127"/>
      <c r="AE114" s="127"/>
      <c r="AF114" s="127"/>
      <c r="AG114" s="127"/>
      <c r="AH114" s="127"/>
      <c r="AI114" s="127"/>
      <c r="AJ114" s="127"/>
      <c r="AK114" s="127"/>
      <c r="AL114" s="127"/>
      <c r="AM114" s="127"/>
      <c r="AN114" s="127"/>
      <c r="AU114" s="155"/>
    </row>
    <row r="115" spans="1:47" s="22" customFormat="1" ht="46.15" customHeight="1" x14ac:dyDescent="0.2">
      <c r="A115" s="125"/>
      <c r="B115" s="124"/>
      <c r="C115" s="126"/>
      <c r="D115" s="127"/>
      <c r="E115" s="128"/>
      <c r="F115" s="126"/>
      <c r="G115" s="128"/>
      <c r="H115" s="126"/>
      <c r="I115" s="126"/>
      <c r="J115" s="127"/>
      <c r="K115" s="126"/>
      <c r="L115" s="127"/>
      <c r="M115" s="127"/>
      <c r="N115" s="127"/>
      <c r="O115" s="127"/>
      <c r="P115" s="171"/>
      <c r="Q115" s="127"/>
      <c r="R115" s="127"/>
      <c r="S115" s="136"/>
      <c r="T115" s="127"/>
      <c r="U115" s="127"/>
      <c r="V115" s="127"/>
      <c r="W115" s="127"/>
      <c r="X115" s="127"/>
      <c r="Y115" s="154"/>
      <c r="Z115" s="127"/>
      <c r="AA115" s="136"/>
      <c r="AB115" s="127"/>
      <c r="AC115" s="127"/>
      <c r="AD115" s="127"/>
      <c r="AE115" s="127"/>
      <c r="AF115" s="127"/>
      <c r="AG115" s="127"/>
      <c r="AH115" s="127"/>
      <c r="AI115" s="127"/>
      <c r="AJ115" s="127"/>
      <c r="AK115" s="127"/>
      <c r="AL115" s="127"/>
      <c r="AM115" s="127"/>
      <c r="AN115" s="127"/>
      <c r="AU115" s="155"/>
    </row>
    <row r="116" spans="1:47" s="22" customFormat="1" ht="46.15" customHeight="1" x14ac:dyDescent="0.2">
      <c r="A116" s="125"/>
      <c r="B116" s="129"/>
      <c r="C116" s="126"/>
      <c r="D116" s="127"/>
      <c r="E116" s="128"/>
      <c r="F116" s="126"/>
      <c r="G116" s="128"/>
      <c r="H116" s="126"/>
      <c r="I116" s="126"/>
      <c r="J116" s="127"/>
      <c r="K116" s="126"/>
      <c r="L116" s="127"/>
      <c r="M116" s="127"/>
      <c r="N116" s="127"/>
      <c r="O116" s="127"/>
      <c r="P116" s="171"/>
      <c r="Q116" s="127"/>
      <c r="R116" s="127"/>
      <c r="S116" s="136"/>
      <c r="T116" s="127"/>
      <c r="U116" s="127"/>
      <c r="V116" s="127"/>
      <c r="W116" s="127"/>
      <c r="X116" s="127"/>
      <c r="Y116" s="154"/>
      <c r="Z116" s="127"/>
      <c r="AA116" s="136"/>
      <c r="AB116" s="127"/>
      <c r="AC116" s="127"/>
      <c r="AD116" s="127"/>
      <c r="AE116" s="127"/>
      <c r="AF116" s="127"/>
      <c r="AG116" s="127"/>
      <c r="AH116" s="127"/>
      <c r="AI116" s="127"/>
      <c r="AJ116" s="127"/>
      <c r="AK116" s="127"/>
      <c r="AL116" s="127"/>
      <c r="AM116" s="127"/>
      <c r="AN116" s="127"/>
      <c r="AU116" s="155"/>
    </row>
    <row r="117" spans="1:47" s="22" customFormat="1" ht="46.15" customHeight="1" x14ac:dyDescent="0.2">
      <c r="A117" s="125"/>
      <c r="B117" s="129"/>
      <c r="C117" s="126"/>
      <c r="D117" s="127"/>
      <c r="E117" s="128"/>
      <c r="F117" s="126"/>
      <c r="G117" s="128"/>
      <c r="H117" s="126"/>
      <c r="I117" s="126"/>
      <c r="J117" s="127"/>
      <c r="K117" s="126"/>
      <c r="L117" s="127"/>
      <c r="M117" s="127"/>
      <c r="N117" s="127"/>
      <c r="O117" s="127"/>
      <c r="P117" s="171"/>
      <c r="Q117" s="127"/>
      <c r="R117" s="127"/>
      <c r="S117" s="136"/>
      <c r="T117" s="127"/>
      <c r="U117" s="127"/>
      <c r="V117" s="127"/>
      <c r="W117" s="127"/>
      <c r="X117" s="127"/>
      <c r="Y117" s="154"/>
      <c r="Z117" s="127"/>
      <c r="AA117" s="136"/>
      <c r="AB117" s="127"/>
      <c r="AC117" s="127"/>
      <c r="AD117" s="127"/>
      <c r="AE117" s="127"/>
      <c r="AF117" s="127"/>
      <c r="AG117" s="127"/>
      <c r="AH117" s="127"/>
      <c r="AI117" s="127"/>
      <c r="AJ117" s="127"/>
      <c r="AK117" s="127"/>
      <c r="AL117" s="127"/>
      <c r="AM117" s="127"/>
      <c r="AN117" s="127"/>
      <c r="AU117" s="155"/>
    </row>
    <row r="118" spans="1:47" s="22" customFormat="1" ht="46.15" customHeight="1" x14ac:dyDescent="0.2">
      <c r="A118" s="125"/>
      <c r="B118" s="124"/>
      <c r="C118" s="126"/>
      <c r="D118" s="127"/>
      <c r="E118" s="128"/>
      <c r="F118" s="126"/>
      <c r="G118" s="128"/>
      <c r="H118" s="126"/>
      <c r="I118" s="126"/>
      <c r="J118" s="127"/>
      <c r="K118" s="126"/>
      <c r="L118" s="127"/>
      <c r="M118" s="127"/>
      <c r="N118" s="127"/>
      <c r="O118" s="127"/>
      <c r="P118" s="171"/>
      <c r="Q118" s="127"/>
      <c r="R118" s="127"/>
      <c r="S118" s="136"/>
      <c r="T118" s="127"/>
      <c r="U118" s="127"/>
      <c r="V118" s="127"/>
      <c r="W118" s="127"/>
      <c r="X118" s="127"/>
      <c r="Y118" s="154"/>
      <c r="Z118" s="127"/>
      <c r="AA118" s="136"/>
      <c r="AB118" s="127"/>
      <c r="AC118" s="127"/>
      <c r="AD118" s="127"/>
      <c r="AE118" s="127"/>
      <c r="AF118" s="127"/>
      <c r="AG118" s="127"/>
      <c r="AH118" s="127"/>
      <c r="AI118" s="127"/>
      <c r="AJ118" s="127"/>
      <c r="AK118" s="127"/>
      <c r="AL118" s="127"/>
      <c r="AM118" s="127"/>
      <c r="AN118" s="127"/>
      <c r="AU118" s="155"/>
    </row>
    <row r="119" spans="1:47" s="22" customFormat="1" ht="46.15" customHeight="1" x14ac:dyDescent="0.2">
      <c r="A119" s="125"/>
      <c r="B119" s="129"/>
      <c r="C119" s="126"/>
      <c r="D119" s="127"/>
      <c r="E119" s="128"/>
      <c r="F119" s="126"/>
      <c r="G119" s="128"/>
      <c r="H119" s="126"/>
      <c r="I119" s="126"/>
      <c r="J119" s="127"/>
      <c r="K119" s="126"/>
      <c r="L119" s="127"/>
      <c r="M119" s="127"/>
      <c r="N119" s="127"/>
      <c r="O119" s="127"/>
      <c r="P119" s="171"/>
      <c r="Q119" s="127"/>
      <c r="R119" s="127"/>
      <c r="S119" s="136"/>
      <c r="T119" s="127"/>
      <c r="U119" s="127"/>
      <c r="V119" s="127"/>
      <c r="W119" s="127"/>
      <c r="X119" s="127"/>
      <c r="Y119" s="154"/>
      <c r="Z119" s="127"/>
      <c r="AA119" s="136"/>
      <c r="AB119" s="127"/>
      <c r="AC119" s="127"/>
      <c r="AD119" s="127"/>
      <c r="AE119" s="127"/>
      <c r="AF119" s="127"/>
      <c r="AG119" s="127"/>
      <c r="AH119" s="127"/>
      <c r="AI119" s="127"/>
      <c r="AJ119" s="127"/>
      <c r="AK119" s="127"/>
      <c r="AL119" s="127"/>
      <c r="AM119" s="127"/>
      <c r="AN119" s="127"/>
      <c r="AU119" s="155"/>
    </row>
    <row r="120" spans="1:47" s="22" customFormat="1" ht="46.15" customHeight="1" x14ac:dyDescent="0.2">
      <c r="A120" s="125"/>
      <c r="B120" s="124"/>
      <c r="C120" s="126"/>
      <c r="D120" s="127"/>
      <c r="E120" s="128"/>
      <c r="F120" s="126"/>
      <c r="G120" s="128"/>
      <c r="H120" s="126"/>
      <c r="I120" s="126"/>
      <c r="J120" s="127"/>
      <c r="K120" s="126"/>
      <c r="L120" s="127"/>
      <c r="M120" s="127"/>
      <c r="N120" s="127"/>
      <c r="O120" s="127"/>
      <c r="P120" s="171"/>
      <c r="Q120" s="127"/>
      <c r="R120" s="127"/>
      <c r="S120" s="136"/>
      <c r="T120" s="127"/>
      <c r="U120" s="127"/>
      <c r="V120" s="127"/>
      <c r="W120" s="127"/>
      <c r="X120" s="127"/>
      <c r="Y120" s="154"/>
      <c r="Z120" s="127"/>
      <c r="AA120" s="136"/>
      <c r="AB120" s="127"/>
      <c r="AC120" s="127"/>
      <c r="AD120" s="127"/>
      <c r="AE120" s="127"/>
      <c r="AF120" s="127"/>
      <c r="AG120" s="127"/>
      <c r="AH120" s="127"/>
      <c r="AI120" s="127"/>
      <c r="AJ120" s="127"/>
      <c r="AK120" s="127"/>
      <c r="AL120" s="127"/>
      <c r="AM120" s="127"/>
      <c r="AN120" s="127"/>
      <c r="AU120" s="155"/>
    </row>
    <row r="121" spans="1:47" s="22" customFormat="1" ht="46.15" customHeight="1" x14ac:dyDescent="0.2">
      <c r="A121" s="124"/>
      <c r="B121" s="124"/>
      <c r="C121" s="130"/>
      <c r="D121" s="124"/>
      <c r="E121" s="131"/>
      <c r="F121" s="125"/>
      <c r="G121" s="131"/>
      <c r="H121" s="125"/>
      <c r="I121" s="130"/>
      <c r="J121" s="133"/>
      <c r="K121" s="132"/>
      <c r="L121" s="133"/>
      <c r="M121" s="133"/>
      <c r="N121" s="133"/>
      <c r="O121" s="287"/>
      <c r="P121" s="171"/>
      <c r="Q121" s="133"/>
      <c r="R121" s="133"/>
      <c r="S121" s="137"/>
      <c r="T121" s="133"/>
      <c r="U121" s="150"/>
      <c r="V121" s="133"/>
      <c r="W121" s="150"/>
      <c r="X121" s="133"/>
      <c r="Y121" s="216"/>
      <c r="Z121" s="150"/>
      <c r="AA121" s="68"/>
      <c r="AB121" s="150"/>
      <c r="AC121" s="150"/>
      <c r="AD121" s="150"/>
      <c r="AE121" s="150"/>
      <c r="AF121" s="150"/>
      <c r="AG121" s="150"/>
      <c r="AH121" s="150"/>
      <c r="AI121" s="150"/>
      <c r="AJ121" s="150"/>
      <c r="AK121" s="150"/>
      <c r="AL121" s="150"/>
      <c r="AM121" s="150"/>
      <c r="AN121" s="150"/>
      <c r="AU121" s="155"/>
    </row>
    <row r="122" spans="1:47" s="22" customFormat="1" ht="46.15" customHeight="1" x14ac:dyDescent="0.2">
      <c r="A122" s="124"/>
      <c r="B122" s="124"/>
      <c r="C122" s="130"/>
      <c r="D122" s="124"/>
      <c r="E122" s="131"/>
      <c r="F122" s="125"/>
      <c r="G122" s="131"/>
      <c r="H122" s="125"/>
      <c r="I122" s="130"/>
      <c r="J122" s="133"/>
      <c r="K122" s="132"/>
      <c r="L122" s="133"/>
      <c r="M122" s="133"/>
      <c r="N122" s="133"/>
      <c r="O122" s="287"/>
      <c r="P122" s="171"/>
      <c r="Q122" s="133"/>
      <c r="R122" s="133"/>
      <c r="S122" s="137"/>
      <c r="T122" s="133"/>
      <c r="U122" s="150"/>
      <c r="V122" s="133"/>
      <c r="W122" s="150"/>
      <c r="X122" s="133"/>
      <c r="Y122" s="216"/>
      <c r="Z122" s="150"/>
      <c r="AA122" s="68"/>
      <c r="AB122" s="150"/>
      <c r="AC122" s="150"/>
      <c r="AD122" s="150"/>
      <c r="AE122" s="150"/>
      <c r="AF122" s="150"/>
      <c r="AG122" s="150"/>
      <c r="AH122" s="150"/>
      <c r="AI122" s="150"/>
      <c r="AJ122" s="150"/>
      <c r="AK122" s="150"/>
      <c r="AL122" s="150"/>
      <c r="AM122" s="150"/>
      <c r="AN122" s="150"/>
      <c r="AU122" s="155"/>
    </row>
    <row r="123" spans="1:47" s="22" customFormat="1" ht="46.15" customHeight="1" x14ac:dyDescent="0.2">
      <c r="A123" s="124"/>
      <c r="B123" s="124"/>
      <c r="C123" s="130"/>
      <c r="D123" s="124"/>
      <c r="E123" s="131"/>
      <c r="F123" s="125"/>
      <c r="G123" s="131"/>
      <c r="H123" s="125"/>
      <c r="I123" s="130"/>
      <c r="J123" s="133"/>
      <c r="K123" s="132"/>
      <c r="L123" s="133"/>
      <c r="M123" s="133"/>
      <c r="N123" s="133"/>
      <c r="O123" s="287"/>
      <c r="P123" s="171"/>
      <c r="Q123" s="133"/>
      <c r="R123" s="133"/>
      <c r="S123" s="137"/>
      <c r="T123" s="133"/>
      <c r="U123" s="150"/>
      <c r="V123" s="133"/>
      <c r="W123" s="150"/>
      <c r="X123" s="133"/>
      <c r="Y123" s="216"/>
      <c r="Z123" s="150"/>
      <c r="AA123" s="68"/>
      <c r="AB123" s="150"/>
      <c r="AC123" s="150"/>
      <c r="AD123" s="150"/>
      <c r="AE123" s="150"/>
      <c r="AF123" s="150"/>
      <c r="AG123" s="150"/>
      <c r="AH123" s="150"/>
      <c r="AI123" s="150"/>
      <c r="AJ123" s="150"/>
      <c r="AK123" s="150"/>
      <c r="AL123" s="150"/>
      <c r="AM123" s="150"/>
      <c r="AN123" s="150"/>
      <c r="AU123" s="155"/>
    </row>
    <row r="124" spans="1:47" s="22" customFormat="1" ht="46.15" customHeight="1" x14ac:dyDescent="0.2">
      <c r="A124" s="124"/>
      <c r="B124" s="124"/>
      <c r="C124" s="130"/>
      <c r="D124" s="124"/>
      <c r="E124" s="131"/>
      <c r="F124" s="125"/>
      <c r="G124" s="131"/>
      <c r="H124" s="125"/>
      <c r="I124" s="130"/>
      <c r="J124" s="133"/>
      <c r="K124" s="132"/>
      <c r="L124" s="133"/>
      <c r="M124" s="133"/>
      <c r="N124" s="133"/>
      <c r="O124" s="287"/>
      <c r="P124" s="171"/>
      <c r="Q124" s="133"/>
      <c r="R124" s="133"/>
      <c r="S124" s="137"/>
      <c r="T124" s="133"/>
      <c r="U124" s="150"/>
      <c r="V124" s="133"/>
      <c r="W124" s="150"/>
      <c r="X124" s="133"/>
      <c r="Y124" s="216"/>
      <c r="Z124" s="150"/>
      <c r="AA124" s="68"/>
      <c r="AB124" s="150"/>
      <c r="AC124" s="150"/>
      <c r="AD124" s="150"/>
      <c r="AE124" s="150"/>
      <c r="AF124" s="150"/>
      <c r="AG124" s="150"/>
      <c r="AH124" s="150"/>
      <c r="AI124" s="150"/>
      <c r="AJ124" s="150"/>
      <c r="AK124" s="150"/>
      <c r="AL124" s="150"/>
      <c r="AM124" s="150"/>
      <c r="AN124" s="150"/>
      <c r="AU124" s="155"/>
    </row>
    <row r="125" spans="1:47" s="22" customFormat="1" ht="46.15" customHeight="1" x14ac:dyDescent="0.2">
      <c r="A125" s="124"/>
      <c r="B125" s="124"/>
      <c r="C125" s="130"/>
      <c r="D125" s="124"/>
      <c r="E125" s="131"/>
      <c r="F125" s="125"/>
      <c r="G125" s="131"/>
      <c r="H125" s="125"/>
      <c r="I125" s="130"/>
      <c r="J125" s="133"/>
      <c r="K125" s="132"/>
      <c r="L125" s="133"/>
      <c r="M125" s="133"/>
      <c r="N125" s="133"/>
      <c r="O125" s="287"/>
      <c r="P125" s="171"/>
      <c r="Q125" s="133"/>
      <c r="R125" s="133"/>
      <c r="S125" s="137"/>
      <c r="T125" s="133"/>
      <c r="U125" s="150"/>
      <c r="V125" s="133"/>
      <c r="W125" s="150"/>
      <c r="X125" s="133"/>
      <c r="Y125" s="216"/>
      <c r="Z125" s="150"/>
      <c r="AA125" s="68"/>
      <c r="AB125" s="150"/>
      <c r="AC125" s="150"/>
      <c r="AD125" s="150"/>
      <c r="AE125" s="150"/>
      <c r="AF125" s="150"/>
      <c r="AG125" s="150"/>
      <c r="AH125" s="150"/>
      <c r="AI125" s="150"/>
      <c r="AJ125" s="150"/>
      <c r="AK125" s="150"/>
      <c r="AL125" s="150"/>
      <c r="AM125" s="150"/>
      <c r="AN125" s="150"/>
      <c r="AU125" s="155"/>
    </row>
    <row r="126" spans="1:47" s="22" customFormat="1" ht="46.15" customHeight="1" x14ac:dyDescent="0.2">
      <c r="A126" s="124"/>
      <c r="B126" s="124"/>
      <c r="C126" s="130"/>
      <c r="D126" s="124"/>
      <c r="E126" s="131"/>
      <c r="F126" s="125"/>
      <c r="G126" s="131"/>
      <c r="H126" s="125"/>
      <c r="I126" s="130"/>
      <c r="J126" s="133"/>
      <c r="K126" s="132"/>
      <c r="L126" s="133"/>
      <c r="M126" s="133"/>
      <c r="N126" s="133"/>
      <c r="O126" s="287"/>
      <c r="P126" s="171"/>
      <c r="Q126" s="133"/>
      <c r="R126" s="133"/>
      <c r="S126" s="137"/>
      <c r="T126" s="133"/>
      <c r="U126" s="150"/>
      <c r="V126" s="133"/>
      <c r="W126" s="150"/>
      <c r="X126" s="133"/>
      <c r="Y126" s="216"/>
      <c r="Z126" s="150"/>
      <c r="AA126" s="68"/>
      <c r="AB126" s="150"/>
      <c r="AC126" s="150"/>
      <c r="AD126" s="150"/>
      <c r="AE126" s="150"/>
      <c r="AF126" s="150"/>
      <c r="AG126" s="150"/>
      <c r="AH126" s="150"/>
      <c r="AI126" s="150"/>
      <c r="AJ126" s="150"/>
      <c r="AK126" s="150"/>
      <c r="AL126" s="150"/>
      <c r="AM126" s="150"/>
      <c r="AN126" s="150"/>
      <c r="AU126" s="155"/>
    </row>
    <row r="127" spans="1:47" s="22" customFormat="1" ht="46.15" customHeight="1" x14ac:dyDescent="0.2">
      <c r="A127" s="124"/>
      <c r="B127" s="124"/>
      <c r="C127" s="130"/>
      <c r="D127" s="124"/>
      <c r="E127" s="131"/>
      <c r="F127" s="125"/>
      <c r="G127" s="131"/>
      <c r="H127" s="125"/>
      <c r="I127" s="130"/>
      <c r="J127" s="133"/>
      <c r="K127" s="132"/>
      <c r="L127" s="133"/>
      <c r="M127" s="133"/>
      <c r="N127" s="133"/>
      <c r="O127" s="287"/>
      <c r="P127" s="171"/>
      <c r="Q127" s="133"/>
      <c r="R127" s="133"/>
      <c r="S127" s="137"/>
      <c r="T127" s="133"/>
      <c r="U127" s="150"/>
      <c r="V127" s="133"/>
      <c r="W127" s="150"/>
      <c r="X127" s="133"/>
      <c r="Y127" s="216"/>
      <c r="Z127" s="150"/>
      <c r="AA127" s="68"/>
      <c r="AB127" s="150"/>
      <c r="AC127" s="150"/>
      <c r="AD127" s="150"/>
      <c r="AE127" s="150"/>
      <c r="AF127" s="150"/>
      <c r="AG127" s="150"/>
      <c r="AH127" s="150"/>
      <c r="AI127" s="150"/>
      <c r="AJ127" s="150"/>
      <c r="AK127" s="150"/>
      <c r="AL127" s="150"/>
      <c r="AM127" s="150"/>
      <c r="AN127" s="150"/>
      <c r="AU127" s="155"/>
    </row>
    <row r="128" spans="1:47" s="22" customFormat="1" ht="46.15" customHeight="1" x14ac:dyDescent="0.2">
      <c r="A128" s="124"/>
      <c r="B128" s="124"/>
      <c r="C128" s="130"/>
      <c r="D128" s="124"/>
      <c r="E128" s="131"/>
      <c r="F128" s="125"/>
      <c r="G128" s="131"/>
      <c r="H128" s="125"/>
      <c r="I128" s="130"/>
      <c r="J128" s="133"/>
      <c r="K128" s="132"/>
      <c r="L128" s="133"/>
      <c r="M128" s="133"/>
      <c r="N128" s="133"/>
      <c r="O128" s="287"/>
      <c r="P128" s="171"/>
      <c r="Q128" s="133"/>
      <c r="R128" s="133"/>
      <c r="S128" s="137"/>
      <c r="T128" s="133"/>
      <c r="U128" s="150"/>
      <c r="V128" s="133"/>
      <c r="W128" s="150"/>
      <c r="X128" s="133"/>
      <c r="Y128" s="216"/>
      <c r="Z128" s="150"/>
      <c r="AA128" s="68"/>
      <c r="AB128" s="150"/>
      <c r="AC128" s="150"/>
      <c r="AD128" s="150"/>
      <c r="AE128" s="150"/>
      <c r="AF128" s="150"/>
      <c r="AG128" s="150"/>
      <c r="AH128" s="150"/>
      <c r="AI128" s="150"/>
      <c r="AJ128" s="150"/>
      <c r="AK128" s="150"/>
      <c r="AL128" s="150"/>
      <c r="AM128" s="150"/>
      <c r="AN128" s="150"/>
      <c r="AU128" s="155"/>
    </row>
    <row r="129" spans="1:47" s="22" customFormat="1" ht="46.15" customHeight="1" x14ac:dyDescent="0.2">
      <c r="A129" s="124"/>
      <c r="B129" s="124"/>
      <c r="C129" s="130"/>
      <c r="D129" s="124"/>
      <c r="E129" s="131"/>
      <c r="F129" s="125"/>
      <c r="G129" s="131"/>
      <c r="H129" s="125"/>
      <c r="I129" s="130"/>
      <c r="J129" s="133"/>
      <c r="K129" s="132"/>
      <c r="L129" s="133"/>
      <c r="M129" s="133"/>
      <c r="N129" s="133"/>
      <c r="O129" s="287"/>
      <c r="P129" s="171"/>
      <c r="Q129" s="133"/>
      <c r="R129" s="133"/>
      <c r="S129" s="137"/>
      <c r="T129" s="133"/>
      <c r="U129" s="150"/>
      <c r="V129" s="133"/>
      <c r="W129" s="150"/>
      <c r="X129" s="133"/>
      <c r="Y129" s="216"/>
      <c r="Z129" s="150"/>
      <c r="AA129" s="68"/>
      <c r="AB129" s="150"/>
      <c r="AC129" s="150"/>
      <c r="AD129" s="150"/>
      <c r="AE129" s="150"/>
      <c r="AF129" s="150"/>
      <c r="AG129" s="150"/>
      <c r="AH129" s="150"/>
      <c r="AI129" s="150"/>
      <c r="AJ129" s="150"/>
      <c r="AK129" s="150"/>
      <c r="AL129" s="150"/>
      <c r="AM129" s="150"/>
      <c r="AN129" s="150"/>
      <c r="AU129" s="155"/>
    </row>
    <row r="130" spans="1:47" ht="46.15" customHeight="1" x14ac:dyDescent="0.2">
      <c r="A130" s="124"/>
      <c r="B130" s="124"/>
      <c r="C130" s="130"/>
      <c r="D130" s="124"/>
      <c r="E130" s="131"/>
      <c r="F130" s="125"/>
      <c r="G130" s="131"/>
      <c r="H130" s="125"/>
      <c r="I130" s="130"/>
      <c r="J130" s="133"/>
      <c r="K130" s="132"/>
      <c r="L130" s="133"/>
      <c r="M130" s="133"/>
      <c r="N130" s="133"/>
      <c r="O130" s="287"/>
      <c r="Q130" s="133"/>
      <c r="R130" s="133"/>
      <c r="S130" s="137"/>
      <c r="T130" s="133"/>
      <c r="U130" s="150"/>
      <c r="V130" s="133"/>
      <c r="W130" s="150"/>
      <c r="X130" s="133"/>
      <c r="Y130" s="216"/>
      <c r="Z130" s="150"/>
      <c r="AA130" s="68"/>
      <c r="AB130" s="150"/>
      <c r="AC130" s="150"/>
      <c r="AD130" s="150"/>
      <c r="AE130" s="150"/>
      <c r="AF130" s="150"/>
      <c r="AG130" s="150"/>
      <c r="AH130" s="150"/>
      <c r="AI130" s="150"/>
      <c r="AJ130" s="150"/>
      <c r="AK130" s="150"/>
      <c r="AL130" s="150"/>
      <c r="AM130" s="150"/>
      <c r="AN130" s="150"/>
    </row>
    <row r="131" spans="1:47" ht="46.15" customHeight="1" x14ac:dyDescent="0.2">
      <c r="A131" s="124"/>
      <c r="B131" s="124"/>
      <c r="C131" s="130"/>
      <c r="D131" s="124"/>
      <c r="E131" s="131"/>
      <c r="F131" s="125"/>
      <c r="G131" s="131"/>
      <c r="H131" s="125"/>
      <c r="I131" s="130"/>
      <c r="J131" s="133"/>
      <c r="K131" s="132"/>
      <c r="L131" s="133"/>
      <c r="M131" s="133"/>
      <c r="N131" s="133"/>
      <c r="O131" s="287"/>
      <c r="Q131" s="133"/>
      <c r="R131" s="133"/>
      <c r="S131" s="137"/>
      <c r="T131" s="133"/>
      <c r="U131" s="150"/>
      <c r="V131" s="133"/>
      <c r="W131" s="150"/>
      <c r="X131" s="133"/>
      <c r="Y131" s="216"/>
      <c r="Z131" s="150"/>
      <c r="AA131" s="68"/>
      <c r="AB131" s="150"/>
      <c r="AC131" s="150"/>
      <c r="AD131" s="150"/>
      <c r="AE131" s="150"/>
      <c r="AF131" s="150"/>
      <c r="AG131" s="150"/>
      <c r="AH131" s="150"/>
      <c r="AI131" s="150"/>
      <c r="AJ131" s="150"/>
      <c r="AK131" s="150"/>
      <c r="AL131" s="150"/>
      <c r="AM131" s="150"/>
      <c r="AN131" s="150"/>
    </row>
    <row r="132" spans="1:47" ht="46.15" customHeight="1" x14ac:dyDescent="0.2">
      <c r="A132" s="124"/>
      <c r="B132" s="124"/>
      <c r="C132" s="130"/>
      <c r="D132" s="124"/>
      <c r="E132" s="131"/>
      <c r="F132" s="125"/>
      <c r="G132" s="131"/>
      <c r="H132" s="125"/>
      <c r="I132" s="130"/>
      <c r="J132" s="133"/>
      <c r="K132" s="132"/>
      <c r="L132" s="133"/>
      <c r="M132" s="133"/>
      <c r="N132" s="133"/>
      <c r="O132" s="287"/>
      <c r="Q132" s="133"/>
      <c r="R132" s="133"/>
      <c r="S132" s="137"/>
      <c r="T132" s="133"/>
      <c r="U132" s="150"/>
      <c r="V132" s="133"/>
      <c r="W132" s="150"/>
      <c r="X132" s="133"/>
      <c r="Y132" s="216"/>
      <c r="Z132" s="150"/>
      <c r="AA132" s="68"/>
      <c r="AB132" s="150"/>
      <c r="AC132" s="150"/>
      <c r="AD132" s="150"/>
      <c r="AE132" s="150"/>
      <c r="AF132" s="150"/>
      <c r="AG132" s="150"/>
      <c r="AH132" s="150"/>
      <c r="AI132" s="150"/>
      <c r="AJ132" s="150"/>
      <c r="AK132" s="150"/>
      <c r="AL132" s="150"/>
      <c r="AM132" s="150"/>
      <c r="AN132" s="150"/>
    </row>
    <row r="133" spans="1:47" ht="46.15" customHeight="1" x14ac:dyDescent="0.2">
      <c r="A133" s="124"/>
      <c r="B133" s="124"/>
      <c r="C133" s="130"/>
      <c r="D133" s="124"/>
      <c r="E133" s="131"/>
      <c r="F133" s="125"/>
      <c r="G133" s="131"/>
      <c r="H133" s="125"/>
      <c r="I133" s="130"/>
      <c r="J133" s="133"/>
      <c r="K133" s="132"/>
      <c r="L133" s="133"/>
      <c r="M133" s="133"/>
      <c r="N133" s="133"/>
      <c r="O133" s="287"/>
      <c r="Q133" s="133"/>
      <c r="R133" s="133"/>
      <c r="S133" s="137"/>
      <c r="T133" s="133"/>
      <c r="U133" s="150"/>
      <c r="V133" s="133"/>
      <c r="W133" s="150"/>
      <c r="X133" s="133"/>
      <c r="Y133" s="216"/>
      <c r="Z133" s="150"/>
      <c r="AA133" s="68"/>
      <c r="AB133" s="150"/>
      <c r="AC133" s="150"/>
      <c r="AD133" s="150"/>
      <c r="AE133" s="150"/>
      <c r="AF133" s="150"/>
      <c r="AG133" s="150"/>
      <c r="AH133" s="150"/>
      <c r="AI133" s="150"/>
      <c r="AJ133" s="150"/>
      <c r="AK133" s="150"/>
      <c r="AL133" s="150"/>
      <c r="AM133" s="150"/>
      <c r="AN133" s="150"/>
    </row>
    <row r="134" spans="1:47" ht="46.15" customHeight="1" x14ac:dyDescent="0.2">
      <c r="A134" s="124"/>
      <c r="B134" s="124"/>
      <c r="C134" s="130"/>
      <c r="D134" s="124"/>
      <c r="E134" s="131"/>
      <c r="F134" s="125"/>
      <c r="G134" s="131"/>
      <c r="H134" s="125"/>
      <c r="I134" s="130"/>
      <c r="J134" s="133"/>
      <c r="K134" s="132"/>
      <c r="L134" s="133"/>
      <c r="M134" s="133"/>
      <c r="N134" s="133"/>
      <c r="O134" s="287"/>
      <c r="Q134" s="133"/>
      <c r="R134" s="133"/>
      <c r="S134" s="137"/>
      <c r="T134" s="133"/>
      <c r="U134" s="150"/>
      <c r="V134" s="133"/>
      <c r="W134" s="150"/>
      <c r="X134" s="133"/>
      <c r="Y134" s="216"/>
      <c r="Z134" s="150"/>
      <c r="AA134" s="68"/>
      <c r="AB134" s="150"/>
      <c r="AC134" s="150"/>
      <c r="AD134" s="150"/>
      <c r="AE134" s="150"/>
      <c r="AF134" s="150"/>
      <c r="AG134" s="150"/>
      <c r="AH134" s="150"/>
      <c r="AI134" s="150"/>
      <c r="AJ134" s="150"/>
      <c r="AK134" s="150"/>
      <c r="AL134" s="150"/>
      <c r="AM134" s="150"/>
      <c r="AN134" s="150"/>
    </row>
    <row r="135" spans="1:47" ht="46.15" customHeight="1" x14ac:dyDescent="0.2">
      <c r="A135" s="155"/>
      <c r="B135" s="155"/>
      <c r="C135" s="155"/>
      <c r="D135" s="155"/>
      <c r="E135" s="155"/>
      <c r="F135" s="155"/>
      <c r="G135" s="155"/>
      <c r="H135" s="155"/>
      <c r="I135" s="112"/>
      <c r="J135" s="135"/>
      <c r="K135" s="134"/>
      <c r="L135" s="135"/>
      <c r="M135" s="135"/>
      <c r="N135" s="135"/>
      <c r="O135" s="288"/>
      <c r="P135" s="181"/>
      <c r="Q135" s="135"/>
      <c r="R135" s="135"/>
      <c r="S135" s="138"/>
      <c r="T135" s="135"/>
      <c r="U135" s="151"/>
      <c r="V135" s="135"/>
      <c r="W135" s="151"/>
      <c r="X135" s="135"/>
      <c r="Y135" s="217"/>
      <c r="Z135" s="151"/>
      <c r="AA135" s="69"/>
      <c r="AB135" s="151"/>
      <c r="AC135" s="151"/>
      <c r="AD135" s="151"/>
      <c r="AE135" s="151"/>
      <c r="AF135" s="151"/>
      <c r="AG135" s="151"/>
      <c r="AH135" s="151"/>
      <c r="AI135" s="151"/>
      <c r="AJ135" s="151"/>
      <c r="AK135" s="151"/>
      <c r="AL135" s="151"/>
      <c r="AM135" s="151"/>
      <c r="AN135" s="151"/>
    </row>
    <row r="136" spans="1:47" ht="46.15" customHeight="1" x14ac:dyDescent="0.2">
      <c r="A136" s="155"/>
      <c r="B136" s="155"/>
      <c r="C136" s="155"/>
      <c r="D136" s="155"/>
      <c r="E136" s="155"/>
      <c r="F136" s="155"/>
      <c r="G136" s="155"/>
      <c r="H136" s="155"/>
      <c r="I136" s="112"/>
      <c r="J136" s="135"/>
      <c r="K136" s="134"/>
      <c r="L136" s="135"/>
      <c r="M136" s="135"/>
      <c r="N136" s="135"/>
      <c r="O136" s="288"/>
      <c r="P136" s="181"/>
      <c r="Q136" s="135"/>
      <c r="R136" s="135"/>
      <c r="S136" s="138"/>
      <c r="T136" s="135"/>
      <c r="U136" s="151"/>
      <c r="V136" s="135"/>
      <c r="W136" s="151"/>
      <c r="X136" s="135"/>
      <c r="Y136" s="217"/>
      <c r="Z136" s="151"/>
      <c r="AA136" s="69"/>
      <c r="AB136" s="151"/>
      <c r="AC136" s="151"/>
      <c r="AD136" s="151"/>
      <c r="AE136" s="151"/>
      <c r="AF136" s="151"/>
      <c r="AG136" s="151"/>
      <c r="AH136" s="151"/>
      <c r="AI136" s="151"/>
      <c r="AJ136" s="151"/>
      <c r="AK136" s="151"/>
      <c r="AL136" s="151"/>
      <c r="AM136" s="151"/>
      <c r="AN136" s="151"/>
    </row>
    <row r="137" spans="1:47" ht="46.15" customHeight="1" x14ac:dyDescent="0.2">
      <c r="A137" s="155"/>
      <c r="B137" s="155"/>
      <c r="C137" s="155"/>
      <c r="D137" s="155"/>
      <c r="E137" s="155"/>
      <c r="F137" s="155"/>
      <c r="G137" s="155"/>
      <c r="H137" s="155"/>
      <c r="I137" s="112"/>
      <c r="J137" s="135"/>
      <c r="K137" s="134"/>
      <c r="L137" s="135"/>
      <c r="M137" s="135"/>
      <c r="N137" s="135"/>
      <c r="O137" s="288"/>
      <c r="P137" s="181"/>
      <c r="Q137" s="135"/>
      <c r="R137" s="135"/>
      <c r="S137" s="138"/>
      <c r="T137" s="135"/>
      <c r="U137" s="151"/>
      <c r="V137" s="135"/>
      <c r="W137" s="151"/>
      <c r="X137" s="135"/>
      <c r="Y137" s="217"/>
      <c r="Z137" s="151"/>
      <c r="AA137" s="69"/>
      <c r="AB137" s="151"/>
      <c r="AC137" s="151"/>
      <c r="AD137" s="151"/>
      <c r="AE137" s="151"/>
      <c r="AF137" s="151"/>
      <c r="AG137" s="151"/>
      <c r="AH137" s="151"/>
      <c r="AI137" s="151"/>
      <c r="AJ137" s="151"/>
      <c r="AK137" s="151"/>
      <c r="AL137" s="151"/>
      <c r="AM137" s="151"/>
      <c r="AN137" s="151"/>
    </row>
    <row r="138" spans="1:47" ht="46.15" customHeight="1" x14ac:dyDescent="0.2">
      <c r="A138" s="155"/>
      <c r="B138" s="155"/>
      <c r="C138" s="155"/>
      <c r="D138" s="155"/>
      <c r="E138" s="155"/>
      <c r="F138" s="155"/>
      <c r="G138" s="155"/>
      <c r="H138" s="155"/>
      <c r="I138" s="112"/>
      <c r="J138" s="135"/>
      <c r="K138" s="134"/>
      <c r="L138" s="135"/>
      <c r="M138" s="135"/>
      <c r="N138" s="135"/>
      <c r="O138" s="288"/>
      <c r="P138" s="181"/>
      <c r="Q138" s="135"/>
      <c r="R138" s="135"/>
      <c r="S138" s="138"/>
      <c r="T138" s="135"/>
      <c r="U138" s="151"/>
      <c r="V138" s="135"/>
      <c r="W138" s="151"/>
      <c r="X138" s="135"/>
      <c r="Y138" s="217"/>
      <c r="Z138" s="151"/>
      <c r="AA138" s="69"/>
      <c r="AB138" s="151"/>
      <c r="AC138" s="151"/>
      <c r="AD138" s="151"/>
      <c r="AE138" s="151"/>
      <c r="AF138" s="151"/>
      <c r="AG138" s="151"/>
      <c r="AH138" s="151"/>
      <c r="AI138" s="151"/>
      <c r="AJ138" s="151"/>
      <c r="AK138" s="151"/>
      <c r="AL138" s="151"/>
      <c r="AM138" s="151"/>
      <c r="AN138" s="151"/>
    </row>
    <row r="139" spans="1:47" ht="46.15" customHeight="1" x14ac:dyDescent="0.2">
      <c r="A139" s="155"/>
      <c r="B139" s="155"/>
      <c r="C139" s="155"/>
      <c r="D139" s="155"/>
      <c r="E139" s="155"/>
      <c r="F139" s="155"/>
      <c r="G139" s="155"/>
      <c r="H139" s="155"/>
      <c r="I139" s="112"/>
      <c r="J139" s="135"/>
      <c r="K139" s="134"/>
      <c r="L139" s="135"/>
      <c r="M139" s="135"/>
      <c r="N139" s="135"/>
      <c r="O139" s="288"/>
      <c r="P139" s="181"/>
      <c r="Q139" s="135"/>
      <c r="R139" s="135"/>
      <c r="S139" s="138"/>
      <c r="T139" s="135"/>
      <c r="U139" s="151"/>
      <c r="V139" s="135"/>
      <c r="W139" s="151"/>
      <c r="X139" s="135"/>
      <c r="Y139" s="217"/>
      <c r="Z139" s="151"/>
      <c r="AA139" s="69"/>
      <c r="AB139" s="151"/>
      <c r="AC139" s="151"/>
      <c r="AD139" s="151"/>
      <c r="AE139" s="151"/>
      <c r="AF139" s="151"/>
      <c r="AG139" s="151"/>
      <c r="AH139" s="151"/>
      <c r="AI139" s="151"/>
      <c r="AJ139" s="151"/>
      <c r="AK139" s="151"/>
      <c r="AL139" s="151"/>
      <c r="AM139" s="151"/>
      <c r="AN139" s="151"/>
    </row>
    <row r="140" spans="1:47" ht="46.15" customHeight="1" x14ac:dyDescent="0.2">
      <c r="A140" s="155"/>
      <c r="B140" s="155"/>
      <c r="C140" s="155"/>
      <c r="D140" s="155"/>
      <c r="E140" s="155"/>
      <c r="F140" s="155"/>
      <c r="G140" s="155"/>
      <c r="H140" s="155"/>
      <c r="I140" s="112"/>
      <c r="J140" s="135"/>
      <c r="K140" s="134"/>
      <c r="L140" s="135"/>
      <c r="M140" s="135"/>
      <c r="N140" s="135"/>
      <c r="O140" s="288"/>
      <c r="P140" s="181"/>
      <c r="Q140" s="135"/>
      <c r="R140" s="135"/>
      <c r="S140" s="138"/>
      <c r="T140" s="135"/>
      <c r="U140" s="151"/>
      <c r="V140" s="135"/>
      <c r="W140" s="151"/>
      <c r="X140" s="135"/>
      <c r="Y140" s="217"/>
      <c r="Z140" s="151"/>
      <c r="AA140" s="69"/>
      <c r="AB140" s="151"/>
      <c r="AC140" s="151"/>
      <c r="AD140" s="151"/>
      <c r="AE140" s="151"/>
      <c r="AF140" s="151"/>
      <c r="AG140" s="151"/>
      <c r="AH140" s="151"/>
      <c r="AI140" s="151"/>
      <c r="AJ140" s="151"/>
      <c r="AK140" s="151"/>
      <c r="AL140" s="151"/>
      <c r="AM140" s="151"/>
      <c r="AN140" s="151"/>
    </row>
    <row r="141" spans="1:47" ht="46.15" customHeight="1" x14ac:dyDescent="0.2">
      <c r="A141" s="155"/>
      <c r="B141" s="155"/>
      <c r="C141" s="155"/>
      <c r="D141" s="155"/>
      <c r="E141" s="155"/>
      <c r="F141" s="155"/>
      <c r="G141" s="155"/>
      <c r="H141" s="155"/>
      <c r="I141" s="112"/>
      <c r="J141" s="135"/>
      <c r="K141" s="134"/>
      <c r="L141" s="135"/>
      <c r="M141" s="135"/>
      <c r="N141" s="135"/>
      <c r="O141" s="288"/>
      <c r="P141" s="181"/>
      <c r="Q141" s="135"/>
      <c r="R141" s="135"/>
      <c r="S141" s="138"/>
      <c r="T141" s="135"/>
      <c r="U141" s="151"/>
      <c r="V141" s="135"/>
      <c r="W141" s="151"/>
      <c r="X141" s="135"/>
      <c r="Y141" s="217"/>
      <c r="Z141" s="151"/>
      <c r="AA141" s="69"/>
      <c r="AB141" s="151"/>
      <c r="AC141" s="151"/>
      <c r="AD141" s="151"/>
      <c r="AE141" s="151"/>
      <c r="AF141" s="151"/>
      <c r="AG141" s="151"/>
      <c r="AH141" s="151"/>
      <c r="AI141" s="151"/>
      <c r="AJ141" s="151"/>
      <c r="AK141" s="151"/>
      <c r="AL141" s="151"/>
      <c r="AM141" s="151"/>
      <c r="AN141" s="151"/>
    </row>
    <row r="142" spans="1:47" ht="46.15" customHeight="1" x14ac:dyDescent="0.2">
      <c r="A142" s="155"/>
      <c r="B142" s="155"/>
      <c r="C142" s="155"/>
      <c r="D142" s="155"/>
      <c r="E142" s="155"/>
      <c r="F142" s="155"/>
      <c r="G142" s="155"/>
      <c r="H142" s="155"/>
      <c r="I142" s="112"/>
      <c r="J142" s="135"/>
      <c r="K142" s="134"/>
      <c r="L142" s="135"/>
      <c r="M142" s="135"/>
      <c r="N142" s="135"/>
      <c r="O142" s="288"/>
      <c r="P142" s="181"/>
      <c r="Q142" s="135"/>
      <c r="R142" s="135"/>
      <c r="S142" s="138"/>
      <c r="T142" s="135"/>
      <c r="U142" s="151"/>
      <c r="V142" s="135"/>
      <c r="W142" s="151"/>
      <c r="X142" s="135"/>
      <c r="Y142" s="217"/>
      <c r="Z142" s="151"/>
      <c r="AA142" s="69"/>
      <c r="AB142" s="151"/>
      <c r="AC142" s="151"/>
      <c r="AD142" s="151"/>
      <c r="AE142" s="151"/>
      <c r="AF142" s="151"/>
      <c r="AG142" s="151"/>
      <c r="AH142" s="151"/>
      <c r="AI142" s="151"/>
      <c r="AJ142" s="151"/>
      <c r="AK142" s="151"/>
      <c r="AL142" s="151"/>
      <c r="AM142" s="151"/>
      <c r="AN142" s="151"/>
    </row>
    <row r="143" spans="1:47" ht="46.15" customHeight="1" x14ac:dyDescent="0.2">
      <c r="A143" s="155"/>
      <c r="B143" s="155"/>
      <c r="C143" s="155"/>
      <c r="D143" s="155"/>
      <c r="E143" s="155"/>
      <c r="F143" s="155"/>
      <c r="G143" s="155"/>
      <c r="H143" s="155"/>
      <c r="I143" s="112"/>
      <c r="J143" s="135"/>
      <c r="K143" s="134"/>
      <c r="L143" s="135"/>
      <c r="M143" s="135"/>
      <c r="N143" s="135"/>
      <c r="O143" s="288"/>
      <c r="P143" s="181"/>
      <c r="Q143" s="135"/>
      <c r="R143" s="135"/>
      <c r="S143" s="138"/>
      <c r="T143" s="135"/>
      <c r="U143" s="151"/>
      <c r="V143" s="135"/>
      <c r="W143" s="151"/>
      <c r="X143" s="135"/>
      <c r="Y143" s="217"/>
      <c r="Z143" s="151"/>
      <c r="AA143" s="69"/>
      <c r="AB143" s="151"/>
      <c r="AC143" s="151"/>
      <c r="AD143" s="151"/>
      <c r="AE143" s="151"/>
      <c r="AF143" s="151"/>
      <c r="AG143" s="151"/>
      <c r="AH143" s="151"/>
      <c r="AI143" s="151"/>
      <c r="AJ143" s="151"/>
      <c r="AK143" s="151"/>
      <c r="AL143" s="151"/>
      <c r="AM143" s="151"/>
      <c r="AN143" s="151"/>
    </row>
    <row r="144" spans="1:47" ht="46.15" customHeight="1" x14ac:dyDescent="0.2">
      <c r="A144" s="155"/>
      <c r="B144" s="155"/>
      <c r="C144" s="155"/>
      <c r="D144" s="155"/>
      <c r="E144" s="155"/>
      <c r="F144" s="155"/>
      <c r="G144" s="155"/>
      <c r="H144" s="155"/>
      <c r="I144" s="112"/>
      <c r="J144" s="135"/>
      <c r="K144" s="134"/>
      <c r="L144" s="135"/>
      <c r="M144" s="135"/>
      <c r="N144" s="135"/>
      <c r="O144" s="288"/>
      <c r="P144" s="181"/>
      <c r="Q144" s="135"/>
      <c r="R144" s="135"/>
      <c r="S144" s="138"/>
      <c r="T144" s="135"/>
      <c r="U144" s="151"/>
      <c r="V144" s="135"/>
      <c r="W144" s="151"/>
      <c r="X144" s="135"/>
      <c r="Y144" s="217"/>
      <c r="Z144" s="151"/>
      <c r="AA144" s="69"/>
      <c r="AB144" s="151"/>
      <c r="AC144" s="151"/>
      <c r="AD144" s="151"/>
      <c r="AE144" s="151"/>
      <c r="AF144" s="151"/>
      <c r="AG144" s="151"/>
      <c r="AH144" s="151"/>
      <c r="AI144" s="151"/>
      <c r="AJ144" s="151"/>
      <c r="AK144" s="151"/>
      <c r="AL144" s="151"/>
      <c r="AM144" s="151"/>
      <c r="AN144" s="151"/>
    </row>
    <row r="145" spans="1:40" ht="46.15" customHeight="1" x14ac:dyDescent="0.2">
      <c r="A145" s="21"/>
      <c r="B145" s="21"/>
      <c r="C145" s="21"/>
      <c r="D145" s="21"/>
      <c r="E145" s="21"/>
      <c r="F145" s="21"/>
      <c r="G145" s="21"/>
      <c r="H145" s="21"/>
      <c r="I145" s="112"/>
      <c r="J145" s="135"/>
      <c r="K145" s="134"/>
      <c r="L145" s="135"/>
      <c r="M145" s="135"/>
      <c r="N145" s="135"/>
      <c r="O145" s="288"/>
      <c r="P145" s="181"/>
      <c r="Q145" s="135"/>
      <c r="R145" s="135"/>
      <c r="S145" s="138"/>
      <c r="T145" s="135"/>
      <c r="U145" s="151"/>
      <c r="V145" s="135"/>
      <c r="W145" s="151"/>
      <c r="X145" s="135"/>
      <c r="Y145" s="217"/>
      <c r="Z145" s="151"/>
      <c r="AA145" s="69"/>
      <c r="AB145" s="151"/>
      <c r="AC145" s="151"/>
      <c r="AD145" s="151"/>
      <c r="AE145" s="151"/>
      <c r="AF145" s="151"/>
      <c r="AG145" s="151"/>
      <c r="AH145" s="151"/>
      <c r="AI145" s="151"/>
      <c r="AJ145" s="151"/>
      <c r="AK145" s="151"/>
      <c r="AL145" s="151"/>
      <c r="AM145" s="151"/>
      <c r="AN145" s="151"/>
    </row>
    <row r="146" spans="1:40" ht="46.15" customHeight="1" x14ac:dyDescent="0.2">
      <c r="A146" s="21"/>
      <c r="B146" s="21"/>
      <c r="C146" s="21"/>
      <c r="D146" s="21"/>
      <c r="E146" s="21"/>
      <c r="F146" s="21"/>
      <c r="G146" s="21"/>
      <c r="H146" s="21"/>
      <c r="I146" s="112"/>
      <c r="J146" s="135"/>
      <c r="K146" s="134"/>
      <c r="L146" s="135"/>
      <c r="M146" s="135"/>
      <c r="N146" s="135"/>
      <c r="O146" s="288"/>
      <c r="P146" s="181"/>
      <c r="Q146" s="135"/>
      <c r="R146" s="135"/>
      <c r="S146" s="138"/>
      <c r="T146" s="135"/>
      <c r="U146" s="151"/>
      <c r="V146" s="135"/>
      <c r="W146" s="151"/>
      <c r="X146" s="135"/>
      <c r="Y146" s="217"/>
      <c r="Z146" s="151"/>
      <c r="AA146" s="69"/>
      <c r="AB146" s="151"/>
      <c r="AC146" s="151"/>
      <c r="AD146" s="151"/>
      <c r="AE146" s="151"/>
      <c r="AF146" s="151"/>
      <c r="AG146" s="151"/>
      <c r="AH146" s="151"/>
      <c r="AI146" s="151"/>
      <c r="AJ146" s="151"/>
      <c r="AK146" s="151"/>
      <c r="AL146" s="151"/>
      <c r="AM146" s="151"/>
      <c r="AN146" s="151"/>
    </row>
    <row r="147" spans="1:40" ht="46.15" customHeight="1" x14ac:dyDescent="0.2">
      <c r="A147" s="21"/>
      <c r="B147" s="21"/>
      <c r="C147" s="21"/>
      <c r="D147" s="21"/>
      <c r="E147" s="21"/>
      <c r="F147" s="21"/>
      <c r="G147" s="21"/>
      <c r="H147" s="21"/>
      <c r="I147" s="112"/>
      <c r="J147" s="135"/>
      <c r="K147" s="134"/>
      <c r="L147" s="135"/>
      <c r="M147" s="135"/>
      <c r="N147" s="135"/>
      <c r="O147" s="288"/>
      <c r="P147" s="181"/>
      <c r="Q147" s="135"/>
      <c r="R147" s="135"/>
      <c r="S147" s="138"/>
      <c r="T147" s="135"/>
      <c r="U147" s="151"/>
      <c r="V147" s="135"/>
      <c r="W147" s="151"/>
      <c r="X147" s="135"/>
      <c r="Y147" s="217"/>
      <c r="Z147" s="151"/>
      <c r="AA147" s="69"/>
      <c r="AB147" s="151"/>
      <c r="AC147" s="151"/>
      <c r="AD147" s="151"/>
      <c r="AE147" s="151"/>
      <c r="AF147" s="151"/>
      <c r="AG147" s="151"/>
      <c r="AH147" s="151"/>
      <c r="AI147" s="151"/>
      <c r="AJ147" s="151"/>
      <c r="AK147" s="151"/>
      <c r="AL147" s="151"/>
      <c r="AM147" s="151"/>
      <c r="AN147" s="151"/>
    </row>
    <row r="148" spans="1:40" ht="46.15" customHeight="1" x14ac:dyDescent="0.2">
      <c r="A148" s="21"/>
      <c r="B148" s="21"/>
      <c r="C148" s="21"/>
      <c r="D148" s="21"/>
      <c r="E148" s="21"/>
      <c r="F148" s="21"/>
      <c r="G148" s="21"/>
      <c r="H148" s="21"/>
      <c r="I148" s="112"/>
      <c r="J148" s="135"/>
      <c r="K148" s="134"/>
      <c r="L148" s="135"/>
      <c r="M148" s="135"/>
      <c r="N148" s="135"/>
      <c r="O148" s="288"/>
      <c r="P148" s="181"/>
      <c r="Q148" s="135"/>
      <c r="R148" s="135"/>
      <c r="S148" s="138"/>
      <c r="T148" s="135"/>
      <c r="U148" s="151"/>
      <c r="V148" s="135"/>
      <c r="W148" s="151"/>
      <c r="X148" s="135"/>
      <c r="Y148" s="217"/>
      <c r="Z148" s="151"/>
      <c r="AA148" s="69"/>
      <c r="AB148" s="151"/>
      <c r="AC148" s="151"/>
      <c r="AD148" s="151"/>
      <c r="AE148" s="151"/>
      <c r="AF148" s="151"/>
      <c r="AG148" s="151"/>
      <c r="AH148" s="151"/>
      <c r="AI148" s="151"/>
      <c r="AJ148" s="151"/>
      <c r="AK148" s="151"/>
      <c r="AL148" s="151"/>
      <c r="AM148" s="151"/>
      <c r="AN148" s="151"/>
    </row>
    <row r="149" spans="1:40" ht="46.15" customHeight="1" x14ac:dyDescent="0.2">
      <c r="A149" s="21"/>
      <c r="B149" s="21"/>
      <c r="C149" s="21"/>
      <c r="D149" s="21"/>
      <c r="E149" s="21"/>
      <c r="F149" s="21"/>
      <c r="G149" s="21"/>
      <c r="H149" s="21"/>
      <c r="I149" s="112"/>
      <c r="J149" s="135"/>
      <c r="K149" s="134"/>
      <c r="L149" s="135"/>
      <c r="M149" s="135"/>
      <c r="N149" s="135"/>
      <c r="O149" s="288"/>
      <c r="P149" s="181"/>
      <c r="Q149" s="135"/>
      <c r="R149" s="135"/>
      <c r="S149" s="138"/>
      <c r="T149" s="135"/>
      <c r="U149" s="151"/>
      <c r="V149" s="135"/>
      <c r="W149" s="151"/>
      <c r="X149" s="135"/>
      <c r="Y149" s="217"/>
      <c r="Z149" s="151"/>
      <c r="AA149" s="69"/>
      <c r="AB149" s="151"/>
      <c r="AC149" s="151"/>
      <c r="AD149" s="151"/>
      <c r="AE149" s="151"/>
      <c r="AF149" s="151"/>
      <c r="AG149" s="151"/>
      <c r="AH149" s="151"/>
      <c r="AI149" s="151"/>
      <c r="AJ149" s="151"/>
      <c r="AK149" s="151"/>
      <c r="AL149" s="151"/>
      <c r="AM149" s="151"/>
      <c r="AN149" s="151"/>
    </row>
    <row r="150" spans="1:40" ht="46.15" customHeight="1" x14ac:dyDescent="0.2">
      <c r="A150" s="21"/>
      <c r="B150" s="21"/>
      <c r="C150" s="21"/>
      <c r="D150" s="21"/>
      <c r="E150" s="21"/>
      <c r="F150" s="21"/>
      <c r="G150" s="21"/>
      <c r="H150" s="21"/>
      <c r="I150" s="112"/>
      <c r="J150" s="135"/>
      <c r="K150" s="134"/>
      <c r="L150" s="135"/>
      <c r="M150" s="135"/>
      <c r="N150" s="135"/>
      <c r="O150" s="288"/>
      <c r="P150" s="181"/>
      <c r="Q150" s="135"/>
      <c r="R150" s="135"/>
      <c r="S150" s="138"/>
      <c r="T150" s="135"/>
      <c r="U150" s="151"/>
      <c r="V150" s="135"/>
      <c r="W150" s="151"/>
      <c r="X150" s="135"/>
      <c r="Y150" s="217"/>
      <c r="Z150" s="151"/>
      <c r="AA150" s="69"/>
      <c r="AB150" s="151"/>
      <c r="AC150" s="151"/>
      <c r="AD150" s="151"/>
      <c r="AE150" s="151"/>
      <c r="AF150" s="151"/>
      <c r="AG150" s="151"/>
      <c r="AH150" s="151"/>
      <c r="AI150" s="151"/>
      <c r="AJ150" s="151"/>
      <c r="AK150" s="151"/>
      <c r="AL150" s="151"/>
      <c r="AM150" s="151"/>
      <c r="AN150" s="151"/>
    </row>
    <row r="151" spans="1:40" ht="46.15" customHeight="1" x14ac:dyDescent="0.2">
      <c r="A151" s="21"/>
      <c r="B151" s="21"/>
      <c r="C151" s="21"/>
      <c r="D151" s="21"/>
      <c r="E151" s="21"/>
      <c r="F151" s="21"/>
      <c r="G151" s="21"/>
      <c r="H151" s="21"/>
      <c r="I151" s="112"/>
      <c r="J151" s="135"/>
      <c r="K151" s="134"/>
      <c r="L151" s="135"/>
      <c r="M151" s="135"/>
      <c r="N151" s="135"/>
      <c r="O151" s="288"/>
      <c r="P151" s="181"/>
      <c r="Q151" s="135"/>
      <c r="R151" s="135"/>
      <c r="S151" s="138"/>
      <c r="T151" s="135"/>
      <c r="U151" s="151"/>
      <c r="V151" s="135"/>
      <c r="W151" s="151"/>
      <c r="X151" s="135"/>
      <c r="Y151" s="217"/>
      <c r="Z151" s="151"/>
      <c r="AA151" s="69"/>
      <c r="AB151" s="151"/>
      <c r="AC151" s="151"/>
      <c r="AD151" s="151"/>
      <c r="AE151" s="151"/>
      <c r="AF151" s="151"/>
      <c r="AG151" s="151"/>
      <c r="AH151" s="151"/>
      <c r="AI151" s="151"/>
      <c r="AJ151" s="151"/>
      <c r="AK151" s="151"/>
      <c r="AL151" s="151"/>
      <c r="AM151" s="151"/>
      <c r="AN151" s="151"/>
    </row>
    <row r="152" spans="1:40" ht="46.15" customHeight="1" x14ac:dyDescent="0.2">
      <c r="A152" s="21"/>
      <c r="B152" s="21"/>
      <c r="C152" s="21"/>
      <c r="D152" s="21"/>
      <c r="E152" s="21"/>
      <c r="F152" s="21"/>
      <c r="G152" s="21"/>
      <c r="H152" s="21"/>
      <c r="I152" s="112"/>
      <c r="J152" s="135"/>
      <c r="K152" s="134"/>
      <c r="L152" s="135"/>
      <c r="M152" s="135"/>
      <c r="N152" s="135"/>
      <c r="O152" s="288"/>
      <c r="P152" s="181"/>
      <c r="Q152" s="135"/>
      <c r="R152" s="135"/>
      <c r="S152" s="138"/>
      <c r="T152" s="135"/>
      <c r="U152" s="151"/>
      <c r="V152" s="135"/>
      <c r="W152" s="151"/>
      <c r="X152" s="135"/>
      <c r="Y152" s="217"/>
      <c r="Z152" s="151"/>
      <c r="AA152" s="69"/>
      <c r="AB152" s="151"/>
      <c r="AC152" s="151"/>
      <c r="AD152" s="151"/>
      <c r="AE152" s="151"/>
      <c r="AF152" s="151"/>
      <c r="AG152" s="151"/>
      <c r="AH152" s="151"/>
      <c r="AI152" s="151"/>
      <c r="AJ152" s="151"/>
      <c r="AK152" s="151"/>
      <c r="AL152" s="151"/>
      <c r="AM152" s="151"/>
      <c r="AN152" s="151"/>
    </row>
    <row r="153" spans="1:40" ht="46.15" customHeight="1" x14ac:dyDescent="0.2">
      <c r="A153" s="21"/>
      <c r="B153" s="21"/>
      <c r="C153" s="21"/>
      <c r="D153" s="21"/>
      <c r="E153" s="21"/>
      <c r="F153" s="21"/>
      <c r="G153" s="21"/>
      <c r="H153" s="21"/>
      <c r="I153" s="112"/>
      <c r="J153" s="135"/>
      <c r="K153" s="134"/>
      <c r="L153" s="135"/>
      <c r="M153" s="135"/>
      <c r="N153" s="135"/>
      <c r="O153" s="288"/>
      <c r="P153" s="181"/>
      <c r="Q153" s="135"/>
      <c r="R153" s="135"/>
      <c r="S153" s="138"/>
      <c r="T153" s="135"/>
      <c r="U153" s="151"/>
      <c r="V153" s="135"/>
      <c r="W153" s="151"/>
      <c r="X153" s="135"/>
      <c r="Y153" s="217"/>
      <c r="Z153" s="151"/>
      <c r="AA153" s="69"/>
      <c r="AB153" s="151"/>
      <c r="AC153" s="151"/>
      <c r="AD153" s="151"/>
      <c r="AE153" s="151"/>
      <c r="AF153" s="151"/>
      <c r="AG153" s="151"/>
      <c r="AH153" s="151"/>
      <c r="AI153" s="151"/>
      <c r="AJ153" s="151"/>
      <c r="AK153" s="151"/>
      <c r="AL153" s="151"/>
      <c r="AM153" s="151"/>
      <c r="AN153" s="151"/>
    </row>
    <row r="154" spans="1:40" ht="46.15" customHeight="1" x14ac:dyDescent="0.2">
      <c r="A154" s="21"/>
      <c r="B154" s="21"/>
      <c r="C154" s="21"/>
      <c r="D154" s="21"/>
      <c r="E154" s="21"/>
      <c r="F154" s="21"/>
      <c r="G154" s="21"/>
      <c r="H154" s="21"/>
      <c r="I154" s="112"/>
      <c r="J154" s="135"/>
      <c r="K154" s="134"/>
      <c r="L154" s="135"/>
      <c r="M154" s="135"/>
      <c r="N154" s="135"/>
      <c r="O154" s="288"/>
      <c r="P154" s="181"/>
      <c r="Q154" s="135"/>
      <c r="R154" s="135"/>
      <c r="S154" s="138"/>
      <c r="T154" s="135"/>
      <c r="U154" s="151"/>
      <c r="V154" s="135"/>
      <c r="W154" s="151"/>
      <c r="X154" s="135"/>
      <c r="Y154" s="217"/>
      <c r="Z154" s="151"/>
      <c r="AA154" s="69"/>
      <c r="AB154" s="151"/>
      <c r="AC154" s="151"/>
      <c r="AD154" s="151"/>
      <c r="AE154" s="151"/>
      <c r="AF154" s="151"/>
      <c r="AG154" s="151"/>
      <c r="AH154" s="151"/>
      <c r="AI154" s="151"/>
      <c r="AJ154" s="151"/>
      <c r="AK154" s="151"/>
      <c r="AL154" s="151"/>
      <c r="AM154" s="151"/>
      <c r="AN154" s="151"/>
    </row>
    <row r="155" spans="1:40" ht="46.15" customHeight="1" x14ac:dyDescent="0.2">
      <c r="A155" s="21"/>
      <c r="B155" s="21"/>
      <c r="C155" s="21"/>
      <c r="D155" s="21"/>
      <c r="E155" s="21"/>
      <c r="F155" s="21"/>
      <c r="G155" s="21"/>
      <c r="H155" s="21"/>
      <c r="I155" s="112"/>
      <c r="J155" s="135"/>
      <c r="K155" s="134"/>
      <c r="L155" s="135"/>
      <c r="M155" s="135"/>
      <c r="N155" s="135"/>
      <c r="O155" s="288"/>
      <c r="P155" s="181"/>
      <c r="Q155" s="135"/>
      <c r="R155" s="135"/>
      <c r="S155" s="138"/>
      <c r="T155" s="135"/>
      <c r="U155" s="151"/>
      <c r="V155" s="135"/>
      <c r="W155" s="151"/>
      <c r="X155" s="135"/>
      <c r="Y155" s="217"/>
      <c r="Z155" s="151"/>
      <c r="AA155" s="69"/>
      <c r="AB155" s="151"/>
      <c r="AC155" s="151"/>
      <c r="AD155" s="151"/>
      <c r="AE155" s="151"/>
      <c r="AF155" s="151"/>
      <c r="AG155" s="151"/>
      <c r="AH155" s="151"/>
      <c r="AI155" s="151"/>
      <c r="AJ155" s="151"/>
      <c r="AK155" s="151"/>
      <c r="AL155" s="151"/>
      <c r="AM155" s="151"/>
      <c r="AN155" s="151"/>
    </row>
    <row r="156" spans="1:40" ht="46.15" customHeight="1" x14ac:dyDescent="0.2">
      <c r="A156" s="21"/>
      <c r="B156" s="21"/>
      <c r="C156" s="21"/>
      <c r="D156" s="21"/>
      <c r="E156" s="21"/>
      <c r="F156" s="21"/>
      <c r="G156" s="21"/>
      <c r="H156" s="21"/>
      <c r="I156" s="112"/>
      <c r="J156" s="135"/>
      <c r="K156" s="134"/>
      <c r="L156" s="135"/>
      <c r="M156" s="135"/>
      <c r="N156" s="135"/>
      <c r="O156" s="288"/>
      <c r="P156" s="181"/>
      <c r="Q156" s="135"/>
      <c r="R156" s="135"/>
      <c r="S156" s="138"/>
      <c r="T156" s="135"/>
      <c r="U156" s="151"/>
      <c r="V156" s="135"/>
      <c r="W156" s="151"/>
      <c r="X156" s="135"/>
      <c r="Y156" s="217"/>
      <c r="Z156" s="151"/>
      <c r="AA156" s="69"/>
      <c r="AB156" s="151"/>
      <c r="AC156" s="151"/>
      <c r="AD156" s="151"/>
      <c r="AE156" s="151"/>
      <c r="AF156" s="151"/>
      <c r="AG156" s="151"/>
      <c r="AH156" s="151"/>
      <c r="AI156" s="151"/>
      <c r="AJ156" s="151"/>
      <c r="AK156" s="151"/>
      <c r="AL156" s="151"/>
      <c r="AM156" s="151"/>
      <c r="AN156" s="151"/>
    </row>
    <row r="157" spans="1:40" ht="46.15" customHeight="1" x14ac:dyDescent="0.2">
      <c r="A157" s="21"/>
      <c r="B157" s="21"/>
      <c r="C157" s="21"/>
      <c r="D157" s="21"/>
      <c r="E157" s="21"/>
      <c r="F157" s="21"/>
      <c r="G157" s="21"/>
      <c r="H157" s="21"/>
      <c r="I157" s="112"/>
      <c r="J157" s="135"/>
      <c r="K157" s="134"/>
      <c r="L157" s="135"/>
      <c r="M157" s="135"/>
      <c r="N157" s="135"/>
      <c r="O157" s="288"/>
      <c r="P157" s="181"/>
      <c r="Q157" s="135"/>
      <c r="R157" s="135"/>
      <c r="S157" s="138"/>
      <c r="T157" s="135"/>
      <c r="U157" s="151"/>
      <c r="V157" s="135"/>
      <c r="W157" s="151"/>
      <c r="X157" s="135"/>
      <c r="Y157" s="217"/>
      <c r="Z157" s="151"/>
      <c r="AA157" s="69"/>
      <c r="AB157" s="151"/>
      <c r="AC157" s="151"/>
      <c r="AD157" s="151"/>
      <c r="AE157" s="151"/>
      <c r="AF157" s="151"/>
      <c r="AG157" s="151"/>
      <c r="AH157" s="151"/>
      <c r="AI157" s="151"/>
      <c r="AJ157" s="151"/>
      <c r="AK157" s="151"/>
      <c r="AL157" s="151"/>
      <c r="AM157" s="151"/>
      <c r="AN157" s="151"/>
    </row>
    <row r="158" spans="1:40" ht="46.15" customHeight="1" x14ac:dyDescent="0.2">
      <c r="A158" s="21"/>
      <c r="B158" s="21"/>
      <c r="C158" s="21"/>
      <c r="D158" s="21"/>
      <c r="E158" s="21"/>
      <c r="F158" s="21"/>
      <c r="G158" s="21"/>
      <c r="H158" s="21"/>
      <c r="I158" s="112"/>
      <c r="J158" s="135"/>
      <c r="K158" s="134"/>
      <c r="L158" s="135"/>
      <c r="M158" s="135"/>
      <c r="N158" s="135"/>
      <c r="O158" s="288"/>
      <c r="P158" s="181"/>
      <c r="Q158" s="135"/>
      <c r="R158" s="135"/>
      <c r="S158" s="138"/>
      <c r="T158" s="135"/>
      <c r="U158" s="151"/>
      <c r="V158" s="135"/>
      <c r="W158" s="151"/>
      <c r="X158" s="135"/>
      <c r="Y158" s="217"/>
      <c r="Z158" s="151"/>
      <c r="AA158" s="69"/>
      <c r="AB158" s="151"/>
      <c r="AC158" s="151"/>
      <c r="AD158" s="151"/>
      <c r="AE158" s="151"/>
      <c r="AF158" s="151"/>
      <c r="AG158" s="151"/>
      <c r="AH158" s="151"/>
      <c r="AI158" s="151"/>
      <c r="AJ158" s="151"/>
      <c r="AK158" s="151"/>
      <c r="AL158" s="151"/>
      <c r="AM158" s="151"/>
      <c r="AN158" s="151"/>
    </row>
    <row r="159" spans="1:40" ht="46.15" customHeight="1" x14ac:dyDescent="0.2">
      <c r="A159" s="21"/>
      <c r="B159" s="21"/>
      <c r="C159" s="21"/>
      <c r="D159" s="21"/>
      <c r="E159" s="21"/>
      <c r="F159" s="21"/>
      <c r="G159" s="21"/>
      <c r="H159" s="21"/>
      <c r="I159" s="112"/>
      <c r="J159" s="135"/>
      <c r="K159" s="134"/>
      <c r="L159" s="135"/>
      <c r="M159" s="135"/>
      <c r="N159" s="135"/>
      <c r="O159" s="288"/>
      <c r="P159" s="181"/>
      <c r="Q159" s="135"/>
      <c r="R159" s="135"/>
      <c r="S159" s="138"/>
      <c r="T159" s="135"/>
      <c r="U159" s="151"/>
      <c r="V159" s="135"/>
      <c r="W159" s="151"/>
      <c r="X159" s="135"/>
      <c r="Y159" s="217"/>
      <c r="Z159" s="151"/>
      <c r="AA159" s="69"/>
      <c r="AB159" s="151"/>
      <c r="AC159" s="151"/>
      <c r="AD159" s="151"/>
      <c r="AE159" s="151"/>
      <c r="AF159" s="151"/>
      <c r="AG159" s="151"/>
      <c r="AH159" s="151"/>
      <c r="AI159" s="151"/>
      <c r="AJ159" s="151"/>
      <c r="AK159" s="151"/>
      <c r="AL159" s="151"/>
      <c r="AM159" s="151"/>
      <c r="AN159" s="151"/>
    </row>
    <row r="160" spans="1:40" ht="46.15" customHeight="1" x14ac:dyDescent="0.2">
      <c r="A160" s="21"/>
      <c r="B160" s="21"/>
      <c r="C160" s="21"/>
      <c r="D160" s="21"/>
      <c r="E160" s="21"/>
      <c r="F160" s="21"/>
      <c r="G160" s="21"/>
      <c r="H160" s="21"/>
      <c r="I160" s="112"/>
      <c r="J160" s="135"/>
      <c r="K160" s="134"/>
      <c r="L160" s="135"/>
      <c r="M160" s="135"/>
      <c r="N160" s="135"/>
      <c r="O160" s="288"/>
      <c r="P160" s="181"/>
      <c r="Q160" s="135"/>
      <c r="R160" s="135"/>
      <c r="S160" s="138"/>
      <c r="T160" s="135"/>
      <c r="U160" s="151"/>
      <c r="V160" s="135"/>
      <c r="W160" s="151"/>
      <c r="X160" s="135"/>
      <c r="Y160" s="217"/>
      <c r="Z160" s="151"/>
      <c r="AA160" s="69"/>
      <c r="AB160" s="151"/>
      <c r="AC160" s="151"/>
      <c r="AD160" s="151"/>
      <c r="AE160" s="151"/>
      <c r="AF160" s="151"/>
      <c r="AG160" s="151"/>
      <c r="AH160" s="151"/>
      <c r="AI160" s="151"/>
      <c r="AJ160" s="151"/>
      <c r="AK160" s="151"/>
      <c r="AL160" s="151"/>
      <c r="AM160" s="151"/>
      <c r="AN160" s="151"/>
    </row>
    <row r="161" spans="1:40" ht="46.15" customHeight="1" x14ac:dyDescent="0.2">
      <c r="A161" s="21"/>
      <c r="B161" s="21"/>
      <c r="C161" s="21"/>
      <c r="D161" s="21"/>
      <c r="E161" s="21"/>
      <c r="F161" s="21"/>
      <c r="G161" s="21"/>
      <c r="H161" s="21"/>
      <c r="I161" s="112"/>
      <c r="J161" s="135"/>
      <c r="K161" s="134"/>
      <c r="L161" s="135"/>
      <c r="M161" s="135"/>
      <c r="N161" s="135"/>
      <c r="O161" s="288"/>
      <c r="P161" s="181"/>
      <c r="Q161" s="135"/>
      <c r="R161" s="135"/>
      <c r="S161" s="138"/>
      <c r="T161" s="135"/>
      <c r="U161" s="151"/>
      <c r="V161" s="135"/>
      <c r="W161" s="151"/>
      <c r="X161" s="135"/>
      <c r="Y161" s="217"/>
      <c r="Z161" s="151"/>
      <c r="AA161" s="69"/>
      <c r="AB161" s="151"/>
      <c r="AC161" s="151"/>
      <c r="AD161" s="151"/>
      <c r="AE161" s="151"/>
      <c r="AF161" s="151"/>
      <c r="AG161" s="151"/>
      <c r="AH161" s="151"/>
      <c r="AI161" s="151"/>
      <c r="AJ161" s="151"/>
      <c r="AK161" s="151"/>
      <c r="AL161" s="151"/>
      <c r="AM161" s="151"/>
      <c r="AN161" s="151"/>
    </row>
    <row r="162" spans="1:40" ht="46.15" customHeight="1" x14ac:dyDescent="0.2">
      <c r="A162" s="21"/>
      <c r="B162" s="21"/>
      <c r="C162" s="21"/>
      <c r="D162" s="21"/>
      <c r="E162" s="21"/>
      <c r="F162" s="21"/>
      <c r="G162" s="21"/>
      <c r="H162" s="21"/>
      <c r="I162" s="112"/>
      <c r="J162" s="135"/>
      <c r="K162" s="134"/>
      <c r="L162" s="135"/>
      <c r="M162" s="135"/>
      <c r="N162" s="135"/>
      <c r="O162" s="288"/>
      <c r="P162" s="181"/>
      <c r="Q162" s="135"/>
      <c r="R162" s="135"/>
      <c r="S162" s="138"/>
      <c r="T162" s="135"/>
      <c r="U162" s="151"/>
      <c r="V162" s="135"/>
      <c r="W162" s="151"/>
      <c r="X162" s="135"/>
      <c r="Y162" s="217"/>
      <c r="Z162" s="151"/>
      <c r="AA162" s="69"/>
      <c r="AB162" s="151"/>
      <c r="AC162" s="151"/>
      <c r="AD162" s="151"/>
      <c r="AE162" s="151"/>
      <c r="AF162" s="151"/>
      <c r="AG162" s="151"/>
      <c r="AH162" s="151"/>
      <c r="AI162" s="151"/>
      <c r="AJ162" s="151"/>
      <c r="AK162" s="151"/>
      <c r="AL162" s="151"/>
      <c r="AM162" s="151"/>
      <c r="AN162" s="151"/>
    </row>
    <row r="163" spans="1:40" ht="46.15" customHeight="1" x14ac:dyDescent="0.2">
      <c r="A163" s="21"/>
      <c r="B163" s="21"/>
      <c r="C163" s="21"/>
      <c r="D163" s="21"/>
      <c r="E163" s="21"/>
      <c r="F163" s="21"/>
      <c r="G163" s="21"/>
      <c r="H163" s="21"/>
      <c r="I163" s="112"/>
      <c r="J163" s="135"/>
      <c r="K163" s="134"/>
      <c r="L163" s="135"/>
      <c r="M163" s="135"/>
      <c r="N163" s="135"/>
      <c r="O163" s="288"/>
      <c r="P163" s="181"/>
      <c r="Q163" s="135"/>
      <c r="R163" s="135"/>
      <c r="S163" s="138"/>
      <c r="T163" s="135"/>
      <c r="U163" s="151"/>
      <c r="V163" s="135"/>
      <c r="W163" s="151"/>
      <c r="X163" s="135"/>
      <c r="Y163" s="217"/>
      <c r="Z163" s="151"/>
      <c r="AA163" s="69"/>
      <c r="AB163" s="151"/>
      <c r="AC163" s="151"/>
      <c r="AD163" s="151"/>
      <c r="AE163" s="151"/>
      <c r="AF163" s="151"/>
      <c r="AG163" s="151"/>
      <c r="AH163" s="151"/>
      <c r="AI163" s="151"/>
      <c r="AJ163" s="151"/>
      <c r="AK163" s="151"/>
      <c r="AL163" s="151"/>
      <c r="AM163" s="151"/>
      <c r="AN163" s="151"/>
    </row>
    <row r="164" spans="1:40" ht="46.15" customHeight="1" x14ac:dyDescent="0.2">
      <c r="A164" s="21"/>
      <c r="B164" s="21"/>
      <c r="C164" s="21"/>
      <c r="D164" s="21"/>
      <c r="E164" s="21"/>
      <c r="F164" s="21"/>
      <c r="G164" s="21"/>
      <c r="H164" s="21"/>
      <c r="I164" s="112"/>
      <c r="J164" s="135"/>
      <c r="K164" s="134"/>
      <c r="L164" s="135"/>
      <c r="M164" s="135"/>
      <c r="N164" s="135"/>
      <c r="O164" s="288"/>
      <c r="P164" s="181"/>
      <c r="Q164" s="135"/>
      <c r="R164" s="135"/>
      <c r="S164" s="138"/>
      <c r="T164" s="135"/>
      <c r="U164" s="151"/>
      <c r="V164" s="135"/>
      <c r="W164" s="151"/>
      <c r="X164" s="135"/>
      <c r="Y164" s="217"/>
      <c r="Z164" s="151"/>
      <c r="AA164" s="69"/>
      <c r="AB164" s="151"/>
      <c r="AC164" s="151"/>
      <c r="AD164" s="151"/>
      <c r="AE164" s="151"/>
      <c r="AF164" s="151"/>
      <c r="AG164" s="151"/>
      <c r="AH164" s="151"/>
      <c r="AI164" s="151"/>
      <c r="AJ164" s="151"/>
      <c r="AK164" s="151"/>
      <c r="AL164" s="151"/>
      <c r="AM164" s="151"/>
      <c r="AN164" s="151"/>
    </row>
    <row r="165" spans="1:40" ht="46.15" customHeight="1" x14ac:dyDescent="0.2">
      <c r="A165" s="21"/>
      <c r="B165" s="21"/>
      <c r="C165" s="21"/>
      <c r="D165" s="21"/>
      <c r="E165" s="21"/>
      <c r="F165" s="21"/>
      <c r="G165" s="21"/>
      <c r="H165" s="21"/>
      <c r="I165" s="112"/>
      <c r="J165" s="135"/>
      <c r="K165" s="134"/>
      <c r="L165" s="135"/>
      <c r="M165" s="135"/>
      <c r="N165" s="135"/>
      <c r="O165" s="288"/>
      <c r="P165" s="181"/>
      <c r="Q165" s="135"/>
      <c r="R165" s="135"/>
      <c r="S165" s="138"/>
      <c r="T165" s="135"/>
      <c r="U165" s="151"/>
      <c r="V165" s="135"/>
      <c r="W165" s="151"/>
      <c r="X165" s="135"/>
      <c r="Y165" s="217"/>
      <c r="Z165" s="151"/>
      <c r="AA165" s="69"/>
      <c r="AB165" s="151"/>
      <c r="AC165" s="151"/>
      <c r="AD165" s="151"/>
      <c r="AE165" s="151"/>
      <c r="AF165" s="151"/>
      <c r="AG165" s="151"/>
      <c r="AH165" s="151"/>
      <c r="AI165" s="151"/>
      <c r="AJ165" s="151"/>
      <c r="AK165" s="151"/>
      <c r="AL165" s="151"/>
      <c r="AM165" s="151"/>
      <c r="AN165" s="151"/>
    </row>
    <row r="166" spans="1:40" ht="46.15" customHeight="1" x14ac:dyDescent="0.2">
      <c r="A166" s="21"/>
      <c r="B166" s="21"/>
      <c r="C166" s="21"/>
      <c r="D166" s="21"/>
      <c r="E166" s="21"/>
      <c r="F166" s="21"/>
      <c r="G166" s="21"/>
      <c r="H166" s="21"/>
      <c r="I166" s="112"/>
      <c r="J166" s="135"/>
      <c r="K166" s="134"/>
      <c r="L166" s="135"/>
      <c r="M166" s="135"/>
      <c r="N166" s="135"/>
      <c r="O166" s="288"/>
      <c r="P166" s="181"/>
      <c r="Q166" s="135"/>
      <c r="R166" s="135"/>
      <c r="S166" s="138"/>
      <c r="T166" s="135"/>
      <c r="U166" s="151"/>
      <c r="V166" s="135"/>
      <c r="W166" s="151"/>
      <c r="X166" s="135"/>
      <c r="Y166" s="217"/>
      <c r="Z166" s="151"/>
      <c r="AA166" s="69"/>
      <c r="AB166" s="151"/>
      <c r="AC166" s="151"/>
      <c r="AD166" s="151"/>
      <c r="AE166" s="151"/>
      <c r="AF166" s="151"/>
      <c r="AG166" s="151"/>
      <c r="AH166" s="151"/>
      <c r="AI166" s="151"/>
      <c r="AJ166" s="151"/>
      <c r="AK166" s="151"/>
      <c r="AL166" s="151"/>
      <c r="AM166" s="151"/>
      <c r="AN166" s="151"/>
    </row>
    <row r="167" spans="1:40" ht="46.15" customHeight="1" x14ac:dyDescent="0.2">
      <c r="A167" s="21"/>
      <c r="B167" s="21"/>
      <c r="C167" s="21"/>
      <c r="D167" s="21"/>
      <c r="E167" s="21"/>
      <c r="F167" s="21"/>
      <c r="G167" s="21"/>
      <c r="H167" s="21"/>
      <c r="I167" s="112"/>
      <c r="J167" s="135"/>
      <c r="K167" s="134"/>
      <c r="L167" s="135"/>
      <c r="M167" s="135"/>
      <c r="N167" s="135"/>
      <c r="O167" s="288"/>
      <c r="P167" s="181"/>
      <c r="Q167" s="135"/>
      <c r="R167" s="135"/>
      <c r="S167" s="138"/>
      <c r="T167" s="135"/>
      <c r="U167" s="151"/>
      <c r="V167" s="135"/>
      <c r="W167" s="151"/>
      <c r="X167" s="135"/>
      <c r="Y167" s="217"/>
      <c r="Z167" s="151"/>
      <c r="AA167" s="69"/>
      <c r="AB167" s="151"/>
      <c r="AC167" s="151"/>
      <c r="AD167" s="151"/>
      <c r="AE167" s="151"/>
      <c r="AF167" s="151"/>
      <c r="AG167" s="151"/>
      <c r="AH167" s="151"/>
      <c r="AI167" s="151"/>
      <c r="AJ167" s="151"/>
      <c r="AK167" s="151"/>
      <c r="AL167" s="151"/>
      <c r="AM167" s="151"/>
      <c r="AN167" s="151"/>
    </row>
    <row r="168" spans="1:40" ht="46.15" customHeight="1" x14ac:dyDescent="0.2">
      <c r="A168" s="21"/>
      <c r="B168" s="21"/>
      <c r="C168" s="21"/>
      <c r="D168" s="21"/>
      <c r="E168" s="21"/>
      <c r="F168" s="21"/>
      <c r="G168" s="21"/>
      <c r="H168" s="21"/>
      <c r="I168" s="112"/>
      <c r="J168" s="135"/>
      <c r="K168" s="134"/>
      <c r="L168" s="135"/>
      <c r="M168" s="135"/>
      <c r="N168" s="135"/>
      <c r="O168" s="288"/>
      <c r="P168" s="181"/>
      <c r="Q168" s="135"/>
      <c r="R168" s="135"/>
      <c r="S168" s="138"/>
      <c r="T168" s="135"/>
      <c r="U168" s="151"/>
      <c r="V168" s="135"/>
      <c r="W168" s="151"/>
      <c r="X168" s="135"/>
      <c r="Y168" s="217"/>
      <c r="Z168" s="151"/>
      <c r="AA168" s="69"/>
      <c r="AB168" s="151"/>
      <c r="AC168" s="151"/>
      <c r="AD168" s="151"/>
      <c r="AE168" s="151"/>
      <c r="AF168" s="151"/>
      <c r="AG168" s="151"/>
      <c r="AH168" s="151"/>
      <c r="AI168" s="151"/>
      <c r="AJ168" s="151"/>
      <c r="AK168" s="151"/>
      <c r="AL168" s="151"/>
      <c r="AM168" s="151"/>
      <c r="AN168" s="151"/>
    </row>
    <row r="169" spans="1:40" ht="46.15" customHeight="1" x14ac:dyDescent="0.2">
      <c r="A169" s="21"/>
      <c r="B169" s="21"/>
      <c r="C169" s="21"/>
      <c r="D169" s="21"/>
      <c r="E169" s="21"/>
      <c r="F169" s="21"/>
      <c r="G169" s="21"/>
      <c r="H169" s="21"/>
      <c r="I169" s="112"/>
      <c r="J169" s="135"/>
      <c r="K169" s="134"/>
      <c r="L169" s="135"/>
      <c r="M169" s="135"/>
      <c r="N169" s="135"/>
      <c r="O169" s="288"/>
      <c r="P169" s="181"/>
      <c r="Q169" s="135"/>
      <c r="R169" s="135"/>
      <c r="S169" s="138"/>
      <c r="T169" s="135"/>
      <c r="U169" s="151"/>
      <c r="V169" s="135"/>
      <c r="W169" s="151"/>
      <c r="X169" s="135"/>
      <c r="Y169" s="217"/>
      <c r="Z169" s="151"/>
      <c r="AA169" s="69"/>
      <c r="AB169" s="151"/>
      <c r="AC169" s="151"/>
      <c r="AD169" s="151"/>
      <c r="AE169" s="151"/>
      <c r="AF169" s="151"/>
      <c r="AG169" s="151"/>
      <c r="AH169" s="151"/>
      <c r="AI169" s="151"/>
      <c r="AJ169" s="151"/>
      <c r="AK169" s="151"/>
      <c r="AL169" s="151"/>
      <c r="AM169" s="151"/>
      <c r="AN169" s="151"/>
    </row>
    <row r="170" spans="1:40" ht="46.15" customHeight="1" x14ac:dyDescent="0.2">
      <c r="A170" s="21"/>
      <c r="B170" s="21"/>
      <c r="C170" s="21"/>
      <c r="D170" s="21"/>
      <c r="E170" s="21"/>
      <c r="F170" s="21"/>
      <c r="G170" s="21"/>
      <c r="H170" s="21"/>
      <c r="I170" s="112"/>
      <c r="J170" s="135"/>
      <c r="K170" s="134"/>
      <c r="L170" s="135"/>
      <c r="M170" s="135"/>
      <c r="N170" s="135"/>
      <c r="O170" s="288"/>
      <c r="P170" s="181"/>
      <c r="Q170" s="135"/>
      <c r="R170" s="135"/>
      <c r="S170" s="138"/>
      <c r="T170" s="135"/>
      <c r="U170" s="151"/>
      <c r="V170" s="135"/>
      <c r="W170" s="151"/>
      <c r="X170" s="135"/>
      <c r="Y170" s="217"/>
      <c r="Z170" s="151"/>
      <c r="AA170" s="69"/>
      <c r="AB170" s="151"/>
      <c r="AC170" s="151"/>
      <c r="AD170" s="151"/>
      <c r="AE170" s="151"/>
      <c r="AF170" s="151"/>
      <c r="AG170" s="151"/>
      <c r="AH170" s="151"/>
      <c r="AI170" s="151"/>
      <c r="AJ170" s="151"/>
      <c r="AK170" s="151"/>
      <c r="AL170" s="151"/>
      <c r="AM170" s="151"/>
      <c r="AN170" s="151"/>
    </row>
    <row r="171" spans="1:40" ht="46.15" customHeight="1" x14ac:dyDescent="0.2">
      <c r="A171" s="21"/>
      <c r="B171" s="21"/>
      <c r="C171" s="21"/>
      <c r="D171" s="21"/>
      <c r="E171" s="21"/>
      <c r="F171" s="21"/>
      <c r="G171" s="21"/>
      <c r="H171" s="21"/>
      <c r="I171" s="112"/>
      <c r="J171" s="135"/>
      <c r="K171" s="134"/>
      <c r="L171" s="135"/>
      <c r="M171" s="135"/>
      <c r="N171" s="135"/>
      <c r="O171" s="288"/>
      <c r="P171" s="181"/>
      <c r="Q171" s="135"/>
      <c r="R171" s="135"/>
      <c r="S171" s="138"/>
      <c r="T171" s="135"/>
      <c r="U171" s="151"/>
      <c r="V171" s="135"/>
      <c r="W171" s="151"/>
      <c r="X171" s="135"/>
      <c r="Y171" s="217"/>
      <c r="Z171" s="151"/>
      <c r="AA171" s="69"/>
      <c r="AB171" s="151"/>
      <c r="AC171" s="151"/>
      <c r="AD171" s="151"/>
      <c r="AE171" s="151"/>
      <c r="AF171" s="151"/>
      <c r="AG171" s="151"/>
      <c r="AH171" s="151"/>
      <c r="AI171" s="151"/>
      <c r="AJ171" s="151"/>
      <c r="AK171" s="151"/>
      <c r="AL171" s="151"/>
      <c r="AM171" s="151"/>
      <c r="AN171" s="151"/>
    </row>
    <row r="172" spans="1:40" ht="46.15" customHeight="1" x14ac:dyDescent="0.2">
      <c r="A172" s="21"/>
      <c r="B172" s="21"/>
      <c r="C172" s="21"/>
      <c r="D172" s="21"/>
      <c r="E172" s="21"/>
      <c r="F172" s="21"/>
      <c r="G172" s="21"/>
      <c r="H172" s="21"/>
      <c r="I172" s="112"/>
      <c r="J172" s="135"/>
      <c r="K172" s="134"/>
      <c r="L172" s="135"/>
      <c r="M172" s="135"/>
      <c r="N172" s="135"/>
      <c r="O172" s="288"/>
      <c r="P172" s="181"/>
      <c r="Q172" s="135"/>
      <c r="R172" s="135"/>
      <c r="S172" s="138"/>
      <c r="T172" s="135"/>
      <c r="U172" s="151"/>
      <c r="V172" s="135"/>
      <c r="W172" s="151"/>
      <c r="X172" s="135"/>
      <c r="Y172" s="217"/>
      <c r="Z172" s="151"/>
      <c r="AA172" s="69"/>
      <c r="AB172" s="151"/>
      <c r="AC172" s="151"/>
      <c r="AD172" s="151"/>
      <c r="AE172" s="151"/>
      <c r="AF172" s="151"/>
      <c r="AG172" s="151"/>
      <c r="AH172" s="151"/>
      <c r="AI172" s="151"/>
      <c r="AJ172" s="151"/>
      <c r="AK172" s="151"/>
      <c r="AL172" s="151"/>
      <c r="AM172" s="151"/>
      <c r="AN172" s="151"/>
    </row>
    <row r="173" spans="1:40" ht="46.15" customHeight="1" x14ac:dyDescent="0.2">
      <c r="A173" s="21"/>
      <c r="B173" s="21"/>
      <c r="C173" s="21"/>
      <c r="D173" s="21"/>
      <c r="E173" s="21"/>
      <c r="F173" s="21"/>
      <c r="G173" s="21"/>
      <c r="H173" s="21"/>
      <c r="I173" s="112"/>
      <c r="J173" s="135"/>
      <c r="K173" s="134"/>
      <c r="L173" s="135"/>
      <c r="M173" s="135"/>
      <c r="N173" s="135"/>
      <c r="O173" s="288"/>
      <c r="P173" s="181"/>
      <c r="Q173" s="135"/>
      <c r="R173" s="135"/>
      <c r="S173" s="138"/>
      <c r="T173" s="135"/>
      <c r="U173" s="151"/>
      <c r="V173" s="135"/>
      <c r="W173" s="151"/>
      <c r="X173" s="135"/>
      <c r="Y173" s="217"/>
      <c r="Z173" s="151"/>
      <c r="AA173" s="69"/>
      <c r="AB173" s="151"/>
      <c r="AC173" s="151"/>
      <c r="AD173" s="151"/>
      <c r="AE173" s="151"/>
      <c r="AF173" s="151"/>
      <c r="AG173" s="151"/>
      <c r="AH173" s="151"/>
      <c r="AI173" s="151"/>
      <c r="AJ173" s="151"/>
      <c r="AK173" s="151"/>
      <c r="AL173" s="151"/>
      <c r="AM173" s="151"/>
      <c r="AN173" s="151"/>
    </row>
    <row r="174" spans="1:40" ht="46.15" customHeight="1" x14ac:dyDescent="0.2">
      <c r="A174" s="21"/>
      <c r="B174" s="21"/>
      <c r="C174" s="21"/>
      <c r="D174" s="21"/>
      <c r="E174" s="21"/>
      <c r="F174" s="21"/>
      <c r="G174" s="21"/>
      <c r="H174" s="21"/>
      <c r="I174" s="112"/>
      <c r="J174" s="135"/>
      <c r="K174" s="134"/>
      <c r="L174" s="135"/>
      <c r="M174" s="135"/>
      <c r="N174" s="135"/>
      <c r="O174" s="288"/>
      <c r="P174" s="181"/>
      <c r="Q174" s="135"/>
      <c r="R174" s="135"/>
      <c r="S174" s="138"/>
      <c r="T174" s="135"/>
      <c r="U174" s="151"/>
      <c r="V174" s="135"/>
      <c r="W174" s="151"/>
      <c r="X174" s="135"/>
      <c r="Y174" s="217"/>
      <c r="Z174" s="151"/>
      <c r="AA174" s="69"/>
      <c r="AB174" s="151"/>
      <c r="AC174" s="151"/>
      <c r="AD174" s="151"/>
      <c r="AE174" s="151"/>
      <c r="AF174" s="151"/>
      <c r="AG174" s="151"/>
      <c r="AH174" s="151"/>
      <c r="AI174" s="151"/>
      <c r="AJ174" s="151"/>
      <c r="AK174" s="151"/>
      <c r="AL174" s="151"/>
      <c r="AM174" s="151"/>
      <c r="AN174" s="151"/>
    </row>
    <row r="175" spans="1:40" ht="46.15" customHeight="1" x14ac:dyDescent="0.2">
      <c r="A175" s="21"/>
      <c r="B175" s="21"/>
      <c r="C175" s="21"/>
      <c r="D175" s="21"/>
      <c r="E175" s="21"/>
      <c r="F175" s="21"/>
      <c r="G175" s="21"/>
      <c r="H175" s="21"/>
      <c r="I175" s="112"/>
      <c r="J175" s="135"/>
      <c r="K175" s="134"/>
      <c r="L175" s="135"/>
      <c r="M175" s="135"/>
      <c r="N175" s="135"/>
      <c r="O175" s="288"/>
      <c r="P175" s="181"/>
      <c r="Q175" s="135"/>
      <c r="R175" s="135"/>
      <c r="S175" s="138"/>
      <c r="T175" s="135"/>
      <c r="U175" s="151"/>
      <c r="V175" s="135"/>
      <c r="W175" s="151"/>
      <c r="X175" s="135"/>
      <c r="Y175" s="217"/>
      <c r="Z175" s="151"/>
      <c r="AA175" s="69"/>
      <c r="AB175" s="151"/>
      <c r="AC175" s="151"/>
      <c r="AD175" s="151"/>
      <c r="AE175" s="151"/>
      <c r="AF175" s="151"/>
      <c r="AG175" s="151"/>
      <c r="AH175" s="151"/>
      <c r="AI175" s="151"/>
      <c r="AJ175" s="151"/>
      <c r="AK175" s="151"/>
      <c r="AL175" s="151"/>
      <c r="AM175" s="151"/>
      <c r="AN175" s="151"/>
    </row>
    <row r="176" spans="1:40" ht="46.15" customHeight="1" x14ac:dyDescent="0.2">
      <c r="A176" s="21"/>
      <c r="B176" s="21"/>
      <c r="C176" s="21"/>
      <c r="D176" s="21"/>
      <c r="E176" s="21"/>
      <c r="F176" s="21"/>
      <c r="G176" s="21"/>
      <c r="H176" s="21"/>
      <c r="I176" s="112"/>
      <c r="J176" s="135"/>
      <c r="K176" s="134"/>
      <c r="L176" s="135"/>
      <c r="M176" s="135"/>
      <c r="N176" s="135"/>
      <c r="O176" s="288"/>
      <c r="P176" s="181"/>
      <c r="Q176" s="135"/>
      <c r="R176" s="135"/>
      <c r="S176" s="138"/>
      <c r="T176" s="135"/>
      <c r="U176" s="151"/>
      <c r="V176" s="135"/>
      <c r="W176" s="151"/>
      <c r="X176" s="135"/>
      <c r="Y176" s="217"/>
      <c r="Z176" s="151"/>
      <c r="AA176" s="69"/>
      <c r="AB176" s="151"/>
      <c r="AC176" s="151"/>
      <c r="AD176" s="151"/>
      <c r="AE176" s="151"/>
      <c r="AF176" s="151"/>
      <c r="AG176" s="151"/>
      <c r="AH176" s="151"/>
      <c r="AI176" s="151"/>
      <c r="AJ176" s="151"/>
      <c r="AK176" s="151"/>
      <c r="AL176" s="151"/>
      <c r="AM176" s="151"/>
      <c r="AN176" s="151"/>
    </row>
    <row r="177" spans="1:40" ht="46.15" customHeight="1" x14ac:dyDescent="0.2">
      <c r="A177" s="21"/>
      <c r="B177" s="21"/>
      <c r="C177" s="21"/>
      <c r="D177" s="21"/>
      <c r="E177" s="21"/>
      <c r="F177" s="21"/>
      <c r="G177" s="21"/>
      <c r="H177" s="21"/>
      <c r="I177" s="112"/>
      <c r="J177" s="135"/>
      <c r="K177" s="134"/>
      <c r="L177" s="135"/>
      <c r="M177" s="135"/>
      <c r="N177" s="135"/>
      <c r="O177" s="288"/>
      <c r="P177" s="181"/>
      <c r="Q177" s="135"/>
      <c r="R177" s="135"/>
      <c r="S177" s="138"/>
      <c r="T177" s="135"/>
      <c r="U177" s="151"/>
      <c r="V177" s="135"/>
      <c r="W177" s="151"/>
      <c r="X177" s="135"/>
      <c r="Y177" s="217"/>
      <c r="Z177" s="151"/>
      <c r="AA177" s="69"/>
      <c r="AB177" s="151"/>
      <c r="AC177" s="151"/>
      <c r="AD177" s="151"/>
      <c r="AE177" s="151"/>
      <c r="AF177" s="151"/>
      <c r="AG177" s="151"/>
      <c r="AH177" s="151"/>
      <c r="AI177" s="151"/>
      <c r="AJ177" s="151"/>
      <c r="AK177" s="151"/>
      <c r="AL177" s="151"/>
      <c r="AM177" s="151"/>
      <c r="AN177" s="151"/>
    </row>
    <row r="178" spans="1:40" ht="46.15" customHeight="1" x14ac:dyDescent="0.2">
      <c r="A178" s="21"/>
      <c r="B178" s="21"/>
      <c r="C178" s="21"/>
      <c r="D178" s="21"/>
      <c r="E178" s="21"/>
      <c r="F178" s="21"/>
      <c r="G178" s="21"/>
      <c r="H178" s="21"/>
      <c r="I178" s="112"/>
      <c r="J178" s="135"/>
      <c r="K178" s="134"/>
      <c r="L178" s="135"/>
      <c r="M178" s="135"/>
      <c r="N178" s="135"/>
      <c r="O178" s="288"/>
      <c r="P178" s="181"/>
      <c r="Q178" s="135"/>
      <c r="R178" s="135"/>
      <c r="S178" s="138"/>
      <c r="T178" s="135"/>
      <c r="U178" s="151"/>
      <c r="V178" s="135"/>
      <c r="W178" s="151"/>
      <c r="X178" s="135"/>
      <c r="Y178" s="217"/>
      <c r="Z178" s="151"/>
      <c r="AA178" s="69"/>
      <c r="AB178" s="151"/>
      <c r="AC178" s="151"/>
      <c r="AD178" s="151"/>
      <c r="AE178" s="151"/>
      <c r="AF178" s="151"/>
      <c r="AG178" s="151"/>
      <c r="AH178" s="151"/>
      <c r="AI178" s="151"/>
      <c r="AJ178" s="151"/>
      <c r="AK178" s="151"/>
      <c r="AL178" s="151"/>
      <c r="AM178" s="151"/>
      <c r="AN178" s="151"/>
    </row>
    <row r="179" spans="1:40" ht="46.15" customHeight="1" x14ac:dyDescent="0.2">
      <c r="A179" s="21"/>
      <c r="B179" s="21"/>
      <c r="C179" s="21"/>
      <c r="D179" s="21"/>
      <c r="E179" s="21"/>
      <c r="F179" s="21"/>
      <c r="G179" s="21"/>
      <c r="H179" s="21"/>
      <c r="I179" s="112"/>
      <c r="J179" s="135"/>
      <c r="K179" s="134"/>
      <c r="L179" s="135"/>
      <c r="M179" s="135"/>
      <c r="N179" s="135"/>
      <c r="O179" s="288"/>
      <c r="P179" s="181"/>
      <c r="Q179" s="135"/>
      <c r="R179" s="135"/>
      <c r="S179" s="138"/>
      <c r="T179" s="135"/>
      <c r="U179" s="151"/>
      <c r="V179" s="135"/>
      <c r="W179" s="151"/>
      <c r="X179" s="135"/>
      <c r="Y179" s="217"/>
      <c r="Z179" s="151"/>
      <c r="AA179" s="69"/>
      <c r="AB179" s="151"/>
      <c r="AC179" s="151"/>
      <c r="AD179" s="151"/>
      <c r="AE179" s="151"/>
      <c r="AF179" s="151"/>
      <c r="AG179" s="151"/>
      <c r="AH179" s="151"/>
      <c r="AI179" s="151"/>
      <c r="AJ179" s="151"/>
      <c r="AK179" s="151"/>
      <c r="AL179" s="151"/>
      <c r="AM179" s="151"/>
      <c r="AN179" s="151"/>
    </row>
    <row r="180" spans="1:40" ht="46.15" customHeight="1" x14ac:dyDescent="0.2">
      <c r="A180" s="21"/>
      <c r="B180" s="21"/>
      <c r="C180" s="21"/>
      <c r="D180" s="21"/>
      <c r="E180" s="21"/>
      <c r="F180" s="21"/>
      <c r="G180" s="21"/>
      <c r="H180" s="21"/>
      <c r="I180" s="112"/>
      <c r="J180" s="135"/>
      <c r="K180" s="134"/>
      <c r="L180" s="135"/>
      <c r="M180" s="135"/>
      <c r="N180" s="135"/>
      <c r="O180" s="288"/>
      <c r="P180" s="181"/>
      <c r="Q180" s="135"/>
      <c r="R180" s="135"/>
      <c r="S180" s="138"/>
      <c r="T180" s="135"/>
      <c r="U180" s="151"/>
      <c r="V180" s="135"/>
      <c r="W180" s="151"/>
      <c r="X180" s="135"/>
      <c r="Y180" s="217"/>
      <c r="Z180" s="151"/>
      <c r="AA180" s="69"/>
      <c r="AB180" s="151"/>
      <c r="AC180" s="151"/>
      <c r="AD180" s="151"/>
      <c r="AE180" s="151"/>
      <c r="AF180" s="151"/>
      <c r="AG180" s="151"/>
      <c r="AH180" s="151"/>
      <c r="AI180" s="151"/>
      <c r="AJ180" s="151"/>
      <c r="AK180" s="151"/>
      <c r="AL180" s="151"/>
      <c r="AM180" s="151"/>
      <c r="AN180" s="151"/>
    </row>
    <row r="181" spans="1:40" ht="46.15" customHeight="1" x14ac:dyDescent="0.2">
      <c r="A181" s="21"/>
      <c r="B181" s="21"/>
      <c r="C181" s="21"/>
      <c r="D181" s="21"/>
      <c r="E181" s="21"/>
      <c r="F181" s="21"/>
      <c r="G181" s="21"/>
      <c r="H181" s="21"/>
      <c r="I181" s="112"/>
      <c r="J181" s="135"/>
      <c r="K181" s="134"/>
      <c r="L181" s="135"/>
      <c r="M181" s="135"/>
      <c r="N181" s="135"/>
      <c r="O181" s="288"/>
      <c r="P181" s="181"/>
      <c r="Q181" s="135"/>
      <c r="R181" s="135"/>
      <c r="S181" s="138"/>
      <c r="T181" s="135"/>
      <c r="U181" s="151"/>
      <c r="V181" s="135"/>
      <c r="W181" s="151"/>
      <c r="X181" s="135"/>
      <c r="Y181" s="217"/>
      <c r="Z181" s="151"/>
      <c r="AA181" s="69"/>
      <c r="AB181" s="151"/>
      <c r="AC181" s="151"/>
      <c r="AD181" s="151"/>
      <c r="AE181" s="151"/>
      <c r="AF181" s="151"/>
      <c r="AG181" s="151"/>
      <c r="AH181" s="151"/>
      <c r="AI181" s="151"/>
      <c r="AJ181" s="151"/>
      <c r="AK181" s="151"/>
      <c r="AL181" s="151"/>
      <c r="AM181" s="151"/>
      <c r="AN181" s="151"/>
    </row>
    <row r="182" spans="1:40" ht="46.15" customHeight="1" x14ac:dyDescent="0.2">
      <c r="A182" s="21"/>
      <c r="B182" s="21"/>
      <c r="C182" s="21"/>
      <c r="D182" s="21"/>
      <c r="E182" s="21"/>
      <c r="F182" s="21"/>
      <c r="G182" s="21"/>
      <c r="H182" s="21"/>
      <c r="I182" s="112"/>
      <c r="J182" s="135"/>
      <c r="K182" s="134"/>
      <c r="L182" s="135"/>
      <c r="M182" s="135"/>
      <c r="N182" s="135"/>
      <c r="O182" s="288"/>
      <c r="P182" s="181"/>
      <c r="Q182" s="135"/>
      <c r="R182" s="135"/>
      <c r="S182" s="138"/>
      <c r="T182" s="135"/>
      <c r="U182" s="151"/>
      <c r="V182" s="135"/>
      <c r="W182" s="151"/>
      <c r="X182" s="135"/>
      <c r="Y182" s="217"/>
      <c r="Z182" s="151"/>
      <c r="AA182" s="69"/>
      <c r="AB182" s="151"/>
      <c r="AC182" s="151"/>
      <c r="AD182" s="151"/>
      <c r="AE182" s="151"/>
      <c r="AF182" s="151"/>
      <c r="AG182" s="151"/>
      <c r="AH182" s="151"/>
      <c r="AI182" s="151"/>
      <c r="AJ182" s="151"/>
      <c r="AK182" s="151"/>
      <c r="AL182" s="151"/>
      <c r="AM182" s="151"/>
      <c r="AN182" s="151"/>
    </row>
    <row r="183" spans="1:40" ht="46.15" customHeight="1" x14ac:dyDescent="0.2">
      <c r="A183" s="21"/>
      <c r="B183" s="21"/>
      <c r="C183" s="21"/>
      <c r="D183" s="21"/>
      <c r="E183" s="21"/>
      <c r="F183" s="21"/>
      <c r="G183" s="21"/>
      <c r="H183" s="21"/>
      <c r="I183" s="112"/>
      <c r="J183" s="135"/>
      <c r="K183" s="134"/>
      <c r="L183" s="135"/>
      <c r="M183" s="135"/>
      <c r="N183" s="135"/>
      <c r="O183" s="288"/>
      <c r="P183" s="181"/>
      <c r="Q183" s="135"/>
      <c r="R183" s="135"/>
      <c r="S183" s="138"/>
      <c r="T183" s="135"/>
      <c r="U183" s="151"/>
      <c r="V183" s="135"/>
      <c r="W183" s="151"/>
      <c r="X183" s="135"/>
      <c r="Y183" s="217"/>
      <c r="Z183" s="151"/>
      <c r="AA183" s="69"/>
      <c r="AB183" s="151"/>
      <c r="AC183" s="151"/>
      <c r="AD183" s="151"/>
      <c r="AE183" s="151"/>
      <c r="AF183" s="151"/>
      <c r="AG183" s="151"/>
      <c r="AH183" s="151"/>
      <c r="AI183" s="151"/>
      <c r="AJ183" s="151"/>
      <c r="AK183" s="151"/>
      <c r="AL183" s="151"/>
      <c r="AM183" s="151"/>
      <c r="AN183" s="151"/>
    </row>
    <row r="184" spans="1:40" ht="46.15" customHeight="1" x14ac:dyDescent="0.2">
      <c r="A184" s="21"/>
      <c r="B184" s="21"/>
      <c r="C184" s="21"/>
      <c r="D184" s="21"/>
      <c r="E184" s="21"/>
      <c r="F184" s="21"/>
      <c r="G184" s="21"/>
      <c r="H184" s="21"/>
      <c r="I184" s="112"/>
      <c r="J184" s="135"/>
      <c r="K184" s="134"/>
      <c r="L184" s="135"/>
      <c r="M184" s="135"/>
      <c r="N184" s="135"/>
      <c r="O184" s="288"/>
      <c r="P184" s="181"/>
      <c r="Q184" s="135"/>
      <c r="R184" s="135"/>
      <c r="S184" s="138"/>
      <c r="T184" s="135"/>
      <c r="U184" s="151"/>
      <c r="V184" s="135"/>
      <c r="W184" s="151"/>
      <c r="X184" s="135"/>
      <c r="Y184" s="217"/>
      <c r="Z184" s="151"/>
      <c r="AA184" s="69"/>
      <c r="AB184" s="151"/>
      <c r="AC184" s="151"/>
      <c r="AD184" s="151"/>
      <c r="AE184" s="151"/>
      <c r="AF184" s="151"/>
      <c r="AG184" s="151"/>
      <c r="AH184" s="151"/>
      <c r="AI184" s="151"/>
      <c r="AJ184" s="151"/>
      <c r="AK184" s="151"/>
      <c r="AL184" s="151"/>
      <c r="AM184" s="151"/>
      <c r="AN184" s="151"/>
    </row>
    <row r="185" spans="1:40" ht="46.15" customHeight="1" x14ac:dyDescent="0.2">
      <c r="A185" s="21"/>
      <c r="B185" s="21"/>
      <c r="C185" s="21"/>
      <c r="D185" s="21"/>
      <c r="E185" s="21"/>
      <c r="F185" s="21"/>
      <c r="G185" s="21"/>
      <c r="H185" s="21"/>
      <c r="I185" s="112"/>
      <c r="J185" s="135"/>
      <c r="K185" s="134"/>
      <c r="L185" s="135"/>
      <c r="M185" s="135"/>
      <c r="N185" s="135"/>
      <c r="O185" s="288"/>
      <c r="P185" s="181"/>
      <c r="Q185" s="135"/>
      <c r="R185" s="135"/>
      <c r="S185" s="138"/>
      <c r="T185" s="135"/>
      <c r="U185" s="151"/>
      <c r="V185" s="135"/>
      <c r="W185" s="151"/>
      <c r="X185" s="135"/>
      <c r="Y185" s="217"/>
      <c r="Z185" s="151"/>
      <c r="AA185" s="69"/>
      <c r="AB185" s="151"/>
      <c r="AC185" s="151"/>
      <c r="AD185" s="151"/>
      <c r="AE185" s="151"/>
      <c r="AF185" s="151"/>
      <c r="AG185" s="151"/>
      <c r="AH185" s="151"/>
      <c r="AI185" s="151"/>
      <c r="AJ185" s="151"/>
      <c r="AK185" s="151"/>
      <c r="AL185" s="151"/>
      <c r="AM185" s="151"/>
      <c r="AN185" s="151"/>
    </row>
    <row r="186" spans="1:40" ht="46.15" customHeight="1" x14ac:dyDescent="0.2">
      <c r="A186" s="21"/>
      <c r="B186" s="21"/>
      <c r="C186" s="21"/>
      <c r="D186" s="21"/>
      <c r="E186" s="21"/>
      <c r="F186" s="21"/>
      <c r="G186" s="21"/>
      <c r="H186" s="21"/>
      <c r="I186" s="112"/>
      <c r="J186" s="135"/>
      <c r="K186" s="134"/>
      <c r="L186" s="135"/>
      <c r="M186" s="135"/>
      <c r="N186" s="135"/>
      <c r="O186" s="288"/>
      <c r="P186" s="181"/>
      <c r="Q186" s="135"/>
      <c r="R186" s="135"/>
      <c r="S186" s="138"/>
      <c r="T186" s="135"/>
      <c r="U186" s="151"/>
      <c r="V186" s="135"/>
      <c r="W186" s="151"/>
      <c r="X186" s="135"/>
      <c r="Y186" s="217"/>
      <c r="Z186" s="151"/>
      <c r="AA186" s="69"/>
      <c r="AB186" s="151"/>
      <c r="AC186" s="151"/>
      <c r="AD186" s="151"/>
      <c r="AE186" s="151"/>
      <c r="AF186" s="151"/>
      <c r="AG186" s="151"/>
      <c r="AH186" s="151"/>
      <c r="AI186" s="151"/>
      <c r="AJ186" s="151"/>
      <c r="AK186" s="151"/>
      <c r="AL186" s="151"/>
      <c r="AM186" s="151"/>
      <c r="AN186" s="151"/>
    </row>
    <row r="187" spans="1:40" ht="46.15" customHeight="1" x14ac:dyDescent="0.2">
      <c r="A187" s="21"/>
      <c r="B187" s="21"/>
      <c r="C187" s="21"/>
      <c r="D187" s="21"/>
      <c r="E187" s="21"/>
      <c r="F187" s="21"/>
      <c r="G187" s="21"/>
      <c r="H187" s="21"/>
      <c r="I187" s="112"/>
      <c r="J187" s="135"/>
      <c r="K187" s="134"/>
      <c r="L187" s="135"/>
      <c r="M187" s="135"/>
      <c r="N187" s="135"/>
      <c r="O187" s="288"/>
      <c r="P187" s="181"/>
      <c r="Q187" s="135"/>
      <c r="R187" s="135"/>
      <c r="S187" s="138"/>
      <c r="T187" s="135"/>
      <c r="U187" s="151"/>
      <c r="V187" s="135"/>
      <c r="W187" s="151"/>
      <c r="X187" s="135"/>
      <c r="Y187" s="217"/>
      <c r="Z187" s="151"/>
      <c r="AA187" s="69"/>
      <c r="AB187" s="151"/>
      <c r="AC187" s="151"/>
      <c r="AD187" s="151"/>
      <c r="AE187" s="151"/>
      <c r="AF187" s="151"/>
      <c r="AG187" s="151"/>
      <c r="AH187" s="151"/>
      <c r="AI187" s="151"/>
      <c r="AJ187" s="151"/>
      <c r="AK187" s="151"/>
      <c r="AL187" s="151"/>
      <c r="AM187" s="151"/>
      <c r="AN187" s="151"/>
    </row>
    <row r="188" spans="1:40" ht="46.15" customHeight="1" x14ac:dyDescent="0.2">
      <c r="A188" s="21"/>
      <c r="B188" s="21"/>
      <c r="C188" s="21"/>
      <c r="D188" s="21"/>
      <c r="E188" s="21"/>
      <c r="F188" s="21"/>
      <c r="G188" s="21"/>
      <c r="H188" s="21"/>
      <c r="I188" s="112"/>
      <c r="J188" s="135"/>
      <c r="K188" s="134"/>
      <c r="L188" s="135"/>
      <c r="M188" s="135"/>
      <c r="N188" s="135"/>
      <c r="O188" s="288"/>
      <c r="P188" s="181"/>
      <c r="Q188" s="135"/>
      <c r="R188" s="135"/>
      <c r="S188" s="138"/>
      <c r="T188" s="135"/>
      <c r="U188" s="151"/>
      <c r="V188" s="135"/>
      <c r="W188" s="151"/>
      <c r="X188" s="135"/>
      <c r="Y188" s="217"/>
      <c r="Z188" s="151"/>
      <c r="AA188" s="69"/>
      <c r="AB188" s="151"/>
      <c r="AC188" s="151"/>
      <c r="AD188" s="151"/>
      <c r="AE188" s="151"/>
      <c r="AF188" s="151"/>
      <c r="AG188" s="151"/>
      <c r="AH188" s="151"/>
      <c r="AI188" s="151"/>
      <c r="AJ188" s="151"/>
      <c r="AK188" s="151"/>
      <c r="AL188" s="151"/>
      <c r="AM188" s="151"/>
      <c r="AN188" s="151"/>
    </row>
    <row r="189" spans="1:40" ht="46.15" customHeight="1" x14ac:dyDescent="0.2">
      <c r="A189" s="21"/>
      <c r="B189" s="21"/>
      <c r="C189" s="21"/>
      <c r="D189" s="21"/>
      <c r="E189" s="21"/>
      <c r="F189" s="21"/>
      <c r="G189" s="21"/>
      <c r="H189" s="21"/>
      <c r="I189" s="112"/>
      <c r="J189" s="135"/>
      <c r="K189" s="134"/>
      <c r="L189" s="135"/>
      <c r="M189" s="135"/>
      <c r="N189" s="135"/>
      <c r="O189" s="288"/>
      <c r="P189" s="181"/>
      <c r="Q189" s="135"/>
      <c r="R189" s="135"/>
      <c r="S189" s="138"/>
      <c r="T189" s="135"/>
      <c r="U189" s="151"/>
      <c r="V189" s="135"/>
      <c r="W189" s="151"/>
      <c r="X189" s="135"/>
      <c r="Y189" s="217"/>
      <c r="Z189" s="151"/>
      <c r="AA189" s="69"/>
      <c r="AB189" s="151"/>
      <c r="AC189" s="151"/>
      <c r="AD189" s="151"/>
      <c r="AE189" s="151"/>
      <c r="AF189" s="151"/>
      <c r="AG189" s="151"/>
      <c r="AH189" s="151"/>
      <c r="AI189" s="151"/>
      <c r="AJ189" s="151"/>
      <c r="AK189" s="151"/>
      <c r="AL189" s="151"/>
      <c r="AM189" s="151"/>
      <c r="AN189" s="151"/>
    </row>
    <row r="190" spans="1:40" ht="46.15" customHeight="1" x14ac:dyDescent="0.2">
      <c r="A190" s="21"/>
      <c r="B190" s="21"/>
      <c r="C190" s="21"/>
      <c r="D190" s="21"/>
      <c r="E190" s="21"/>
      <c r="F190" s="21"/>
      <c r="G190" s="21"/>
      <c r="H190" s="21"/>
      <c r="I190" s="112"/>
      <c r="J190" s="135"/>
      <c r="K190" s="134"/>
      <c r="L190" s="135"/>
      <c r="M190" s="135"/>
      <c r="N190" s="135"/>
      <c r="O190" s="288"/>
      <c r="P190" s="181"/>
      <c r="Q190" s="135"/>
      <c r="R190" s="135"/>
      <c r="S190" s="138"/>
      <c r="T190" s="135"/>
      <c r="U190" s="151"/>
      <c r="V190" s="135"/>
      <c r="W190" s="151"/>
      <c r="X190" s="135"/>
      <c r="Y190" s="217"/>
      <c r="Z190" s="151"/>
      <c r="AA190" s="69"/>
      <c r="AB190" s="151"/>
      <c r="AC190" s="151"/>
      <c r="AD190" s="151"/>
      <c r="AE190" s="151"/>
      <c r="AF190" s="151"/>
      <c r="AG190" s="151"/>
      <c r="AH190" s="151"/>
      <c r="AI190" s="151"/>
      <c r="AJ190" s="151"/>
      <c r="AK190" s="151"/>
      <c r="AL190" s="151"/>
      <c r="AM190" s="151"/>
      <c r="AN190" s="151"/>
    </row>
    <row r="191" spans="1:40" ht="46.15" customHeight="1" x14ac:dyDescent="0.2">
      <c r="A191" s="21"/>
      <c r="B191" s="21"/>
      <c r="C191" s="21"/>
      <c r="D191" s="21"/>
      <c r="E191" s="21"/>
      <c r="F191" s="21"/>
      <c r="G191" s="21"/>
      <c r="H191" s="21"/>
      <c r="I191" s="112"/>
      <c r="J191" s="135"/>
      <c r="K191" s="134"/>
      <c r="L191" s="135"/>
      <c r="M191" s="135"/>
      <c r="N191" s="135"/>
      <c r="O191" s="288"/>
      <c r="P191" s="181"/>
      <c r="Q191" s="135"/>
      <c r="R191" s="135"/>
      <c r="S191" s="138"/>
      <c r="T191" s="135"/>
      <c r="U191" s="151"/>
      <c r="V191" s="135"/>
      <c r="W191" s="151"/>
      <c r="X191" s="135"/>
      <c r="Y191" s="217"/>
      <c r="Z191" s="151"/>
      <c r="AA191" s="69"/>
      <c r="AB191" s="151"/>
      <c r="AC191" s="151"/>
      <c r="AD191" s="151"/>
      <c r="AE191" s="151"/>
      <c r="AF191" s="151"/>
      <c r="AG191" s="151"/>
      <c r="AH191" s="151"/>
      <c r="AI191" s="151"/>
      <c r="AJ191" s="151"/>
      <c r="AK191" s="151"/>
      <c r="AL191" s="151"/>
      <c r="AM191" s="151"/>
      <c r="AN191" s="151"/>
    </row>
    <row r="192" spans="1:40" ht="46.15" customHeight="1" x14ac:dyDescent="0.2">
      <c r="A192" s="21"/>
      <c r="B192" s="21"/>
      <c r="C192" s="21"/>
      <c r="D192" s="21"/>
      <c r="E192" s="21"/>
      <c r="F192" s="21"/>
      <c r="G192" s="21"/>
      <c r="H192" s="21"/>
      <c r="I192" s="112"/>
      <c r="J192" s="135"/>
      <c r="K192" s="134"/>
      <c r="L192" s="135"/>
      <c r="M192" s="135"/>
      <c r="N192" s="135"/>
      <c r="O192" s="288"/>
      <c r="P192" s="181"/>
      <c r="Q192" s="135"/>
      <c r="R192" s="135"/>
      <c r="S192" s="138"/>
      <c r="T192" s="135"/>
      <c r="U192" s="151"/>
      <c r="V192" s="135"/>
      <c r="W192" s="151"/>
      <c r="X192" s="135"/>
      <c r="Y192" s="217"/>
      <c r="Z192" s="151"/>
      <c r="AA192" s="69"/>
      <c r="AB192" s="151"/>
      <c r="AC192" s="151"/>
      <c r="AD192" s="151"/>
      <c r="AE192" s="151"/>
      <c r="AF192" s="151"/>
      <c r="AG192" s="151"/>
      <c r="AH192" s="151"/>
      <c r="AI192" s="151"/>
      <c r="AJ192" s="151"/>
      <c r="AK192" s="151"/>
      <c r="AL192" s="151"/>
      <c r="AM192" s="151"/>
      <c r="AN192" s="151"/>
    </row>
    <row r="193" spans="1:40" ht="46.15" customHeight="1" x14ac:dyDescent="0.2">
      <c r="A193" s="21"/>
      <c r="B193" s="21"/>
      <c r="C193" s="21"/>
      <c r="D193" s="21"/>
      <c r="E193" s="21"/>
      <c r="F193" s="21"/>
      <c r="G193" s="21"/>
      <c r="H193" s="21"/>
      <c r="I193" s="112"/>
      <c r="J193" s="135"/>
      <c r="K193" s="134"/>
      <c r="L193" s="135"/>
      <c r="M193" s="135"/>
      <c r="N193" s="135"/>
      <c r="O193" s="288"/>
      <c r="P193" s="181"/>
      <c r="Q193" s="135"/>
      <c r="R193" s="135"/>
      <c r="S193" s="138"/>
      <c r="T193" s="135"/>
      <c r="U193" s="151"/>
      <c r="V193" s="135"/>
      <c r="W193" s="151"/>
      <c r="X193" s="135"/>
      <c r="Y193" s="217"/>
      <c r="Z193" s="151"/>
      <c r="AA193" s="69"/>
      <c r="AB193" s="151"/>
      <c r="AC193" s="151"/>
      <c r="AD193" s="151"/>
      <c r="AE193" s="151"/>
      <c r="AF193" s="151"/>
      <c r="AG193" s="151"/>
      <c r="AH193" s="151"/>
      <c r="AI193" s="151"/>
      <c r="AJ193" s="151"/>
      <c r="AK193" s="151"/>
      <c r="AL193" s="151"/>
      <c r="AM193" s="151"/>
      <c r="AN193" s="151"/>
    </row>
    <row r="194" spans="1:40" ht="46.15" customHeight="1" x14ac:dyDescent="0.2">
      <c r="A194" s="21"/>
      <c r="B194" s="21"/>
      <c r="C194" s="21"/>
      <c r="D194" s="21"/>
      <c r="E194" s="21"/>
      <c r="F194" s="21"/>
      <c r="G194" s="21"/>
      <c r="H194" s="21"/>
      <c r="I194" s="112"/>
      <c r="J194" s="135"/>
      <c r="K194" s="134"/>
      <c r="L194" s="135"/>
      <c r="M194" s="135"/>
      <c r="N194" s="135"/>
      <c r="O194" s="288"/>
      <c r="P194" s="181"/>
      <c r="Q194" s="135"/>
      <c r="R194" s="135"/>
      <c r="S194" s="138"/>
      <c r="T194" s="135"/>
      <c r="U194" s="151"/>
      <c r="V194" s="135"/>
      <c r="W194" s="151"/>
      <c r="X194" s="135"/>
      <c r="Y194" s="217"/>
      <c r="Z194" s="151"/>
      <c r="AA194" s="69"/>
      <c r="AB194" s="151"/>
      <c r="AC194" s="151"/>
      <c r="AD194" s="151"/>
      <c r="AE194" s="151"/>
      <c r="AF194" s="151"/>
      <c r="AG194" s="151"/>
      <c r="AH194" s="151"/>
      <c r="AI194" s="151"/>
      <c r="AJ194" s="151"/>
      <c r="AK194" s="151"/>
      <c r="AL194" s="151"/>
      <c r="AM194" s="151"/>
      <c r="AN194" s="151"/>
    </row>
    <row r="195" spans="1:40" ht="46.15" customHeight="1" x14ac:dyDescent="0.2">
      <c r="A195" s="21"/>
      <c r="B195" s="21"/>
      <c r="C195" s="21"/>
      <c r="D195" s="21"/>
      <c r="E195" s="21"/>
      <c r="F195" s="21"/>
      <c r="G195" s="21"/>
      <c r="H195" s="21"/>
      <c r="I195" s="112"/>
      <c r="J195" s="135"/>
      <c r="K195" s="134"/>
      <c r="L195" s="135"/>
      <c r="M195" s="135"/>
      <c r="N195" s="135"/>
      <c r="O195" s="288"/>
      <c r="P195" s="181"/>
      <c r="Q195" s="135"/>
      <c r="R195" s="135"/>
      <c r="S195" s="138"/>
      <c r="T195" s="135"/>
      <c r="U195" s="151"/>
      <c r="V195" s="135"/>
      <c r="W195" s="151"/>
      <c r="X195" s="135"/>
      <c r="Y195" s="217"/>
      <c r="Z195" s="151"/>
      <c r="AA195" s="69"/>
      <c r="AB195" s="151"/>
      <c r="AC195" s="151"/>
      <c r="AD195" s="151"/>
      <c r="AE195" s="151"/>
      <c r="AF195" s="151"/>
      <c r="AG195" s="151"/>
      <c r="AH195" s="151"/>
      <c r="AI195" s="151"/>
      <c r="AJ195" s="151"/>
      <c r="AK195" s="151"/>
      <c r="AL195" s="151"/>
      <c r="AM195" s="151"/>
      <c r="AN195" s="151"/>
    </row>
    <row r="196" spans="1:40" ht="46.15" customHeight="1" x14ac:dyDescent="0.2">
      <c r="A196" s="21"/>
      <c r="B196" s="21"/>
      <c r="C196" s="21"/>
      <c r="D196" s="21"/>
      <c r="E196" s="21"/>
      <c r="F196" s="21"/>
      <c r="G196" s="21"/>
      <c r="H196" s="21"/>
      <c r="I196" s="112"/>
      <c r="J196" s="135"/>
      <c r="K196" s="134"/>
      <c r="L196" s="135"/>
      <c r="M196" s="135"/>
      <c r="N196" s="135"/>
      <c r="O196" s="288"/>
      <c r="P196" s="181"/>
      <c r="Q196" s="135"/>
      <c r="R196" s="135"/>
      <c r="S196" s="138"/>
      <c r="T196" s="135"/>
      <c r="U196" s="151"/>
      <c r="V196" s="135"/>
      <c r="W196" s="151"/>
      <c r="X196" s="135"/>
      <c r="Y196" s="217"/>
      <c r="Z196" s="151"/>
      <c r="AA196" s="69"/>
      <c r="AB196" s="151"/>
      <c r="AC196" s="151"/>
      <c r="AD196" s="151"/>
      <c r="AE196" s="151"/>
      <c r="AF196" s="151"/>
      <c r="AG196" s="151"/>
      <c r="AH196" s="151"/>
      <c r="AI196" s="151"/>
      <c r="AJ196" s="151"/>
      <c r="AK196" s="151"/>
      <c r="AL196" s="151"/>
      <c r="AM196" s="151"/>
      <c r="AN196" s="151"/>
    </row>
    <row r="197" spans="1:40" ht="46.15" customHeight="1" x14ac:dyDescent="0.2">
      <c r="A197" s="21"/>
      <c r="B197" s="21"/>
      <c r="C197" s="21"/>
      <c r="D197" s="21"/>
      <c r="E197" s="21"/>
      <c r="F197" s="21"/>
      <c r="G197" s="21"/>
      <c r="H197" s="21"/>
      <c r="I197" s="112"/>
      <c r="J197" s="135"/>
      <c r="K197" s="134"/>
      <c r="L197" s="135"/>
      <c r="M197" s="135"/>
      <c r="N197" s="135"/>
      <c r="O197" s="288"/>
      <c r="P197" s="181"/>
      <c r="Q197" s="135"/>
      <c r="R197" s="135"/>
      <c r="S197" s="138"/>
      <c r="T197" s="135"/>
      <c r="U197" s="151"/>
      <c r="V197" s="135"/>
      <c r="W197" s="151"/>
      <c r="X197" s="135"/>
      <c r="Y197" s="217"/>
      <c r="Z197" s="151"/>
      <c r="AA197" s="69"/>
      <c r="AB197" s="151"/>
      <c r="AC197" s="151"/>
      <c r="AD197" s="151"/>
      <c r="AE197" s="151"/>
      <c r="AF197" s="151"/>
      <c r="AG197" s="151"/>
      <c r="AH197" s="151"/>
      <c r="AI197" s="151"/>
      <c r="AJ197" s="151"/>
      <c r="AK197" s="151"/>
      <c r="AL197" s="151"/>
      <c r="AM197" s="151"/>
      <c r="AN197" s="151"/>
    </row>
    <row r="198" spans="1:40" ht="46.15" customHeight="1" x14ac:dyDescent="0.2">
      <c r="A198" s="21"/>
      <c r="B198" s="21"/>
      <c r="C198" s="21"/>
      <c r="D198" s="21"/>
      <c r="E198" s="21"/>
      <c r="F198" s="21"/>
      <c r="G198" s="21"/>
      <c r="H198" s="21"/>
      <c r="I198" s="112"/>
      <c r="J198" s="135"/>
      <c r="K198" s="134"/>
      <c r="L198" s="135"/>
      <c r="M198" s="135"/>
      <c r="N198" s="135"/>
      <c r="O198" s="288"/>
      <c r="P198" s="181"/>
      <c r="Q198" s="135"/>
      <c r="R198" s="135"/>
      <c r="S198" s="138"/>
      <c r="T198" s="135"/>
      <c r="U198" s="151"/>
      <c r="V198" s="135"/>
      <c r="W198" s="151"/>
      <c r="X198" s="135"/>
      <c r="Y198" s="217"/>
      <c r="Z198" s="151"/>
      <c r="AA198" s="69"/>
      <c r="AB198" s="151"/>
      <c r="AC198" s="151"/>
      <c r="AD198" s="151"/>
      <c r="AE198" s="151"/>
      <c r="AF198" s="151"/>
      <c r="AG198" s="151"/>
      <c r="AH198" s="151"/>
      <c r="AI198" s="151"/>
      <c r="AJ198" s="151"/>
      <c r="AK198" s="151"/>
      <c r="AL198" s="151"/>
      <c r="AM198" s="151"/>
      <c r="AN198" s="151"/>
    </row>
    <row r="199" spans="1:40" ht="46.15" customHeight="1" x14ac:dyDescent="0.2">
      <c r="A199" s="21"/>
      <c r="B199" s="21"/>
      <c r="C199" s="21"/>
      <c r="D199" s="21"/>
      <c r="E199" s="21"/>
      <c r="F199" s="21"/>
      <c r="G199" s="21"/>
      <c r="H199" s="21"/>
      <c r="I199" s="112"/>
      <c r="J199" s="135"/>
      <c r="K199" s="134"/>
      <c r="L199" s="135"/>
      <c r="M199" s="135"/>
      <c r="N199" s="135"/>
      <c r="O199" s="288"/>
      <c r="P199" s="181"/>
      <c r="Q199" s="135"/>
      <c r="R199" s="135"/>
      <c r="S199" s="138"/>
      <c r="T199" s="135"/>
      <c r="U199" s="151"/>
      <c r="V199" s="135"/>
      <c r="W199" s="151"/>
      <c r="X199" s="135"/>
      <c r="Y199" s="217"/>
      <c r="Z199" s="151"/>
      <c r="AA199" s="69"/>
      <c r="AB199" s="151"/>
      <c r="AC199" s="151"/>
      <c r="AD199" s="151"/>
      <c r="AE199" s="151"/>
      <c r="AF199" s="151"/>
      <c r="AG199" s="151"/>
      <c r="AH199" s="151"/>
      <c r="AI199" s="151"/>
      <c r="AJ199" s="151"/>
      <c r="AK199" s="151"/>
      <c r="AL199" s="151"/>
      <c r="AM199" s="151"/>
      <c r="AN199" s="151"/>
    </row>
    <row r="200" spans="1:40" ht="46.15" customHeight="1" x14ac:dyDescent="0.2">
      <c r="A200" s="21"/>
      <c r="B200" s="21"/>
      <c r="C200" s="21"/>
      <c r="D200" s="21"/>
      <c r="E200" s="21"/>
      <c r="F200" s="21"/>
      <c r="G200" s="21"/>
      <c r="H200" s="21"/>
      <c r="I200" s="112"/>
      <c r="J200" s="135"/>
      <c r="K200" s="134"/>
      <c r="L200" s="135"/>
      <c r="M200" s="135"/>
      <c r="N200" s="135"/>
      <c r="O200" s="288"/>
      <c r="P200" s="181"/>
      <c r="Q200" s="135"/>
      <c r="R200" s="135"/>
      <c r="S200" s="138"/>
      <c r="T200" s="135"/>
      <c r="U200" s="151"/>
      <c r="V200" s="135"/>
      <c r="W200" s="151"/>
      <c r="X200" s="135"/>
      <c r="Y200" s="217"/>
      <c r="Z200" s="151"/>
      <c r="AA200" s="69"/>
      <c r="AB200" s="151"/>
      <c r="AC200" s="151"/>
      <c r="AD200" s="151"/>
      <c r="AE200" s="151"/>
      <c r="AF200" s="151"/>
      <c r="AG200" s="151"/>
      <c r="AH200" s="151"/>
      <c r="AI200" s="151"/>
      <c r="AJ200" s="151"/>
      <c r="AK200" s="151"/>
      <c r="AL200" s="151"/>
      <c r="AM200" s="151"/>
      <c r="AN200" s="151"/>
    </row>
    <row r="201" spans="1:40" ht="46.15" customHeight="1" x14ac:dyDescent="0.2">
      <c r="A201" s="21"/>
      <c r="B201" s="21"/>
      <c r="C201" s="21"/>
      <c r="D201" s="21"/>
      <c r="E201" s="21"/>
      <c r="F201" s="21"/>
      <c r="G201" s="21"/>
      <c r="H201" s="21"/>
      <c r="I201" s="112"/>
      <c r="J201" s="135"/>
      <c r="K201" s="134"/>
      <c r="L201" s="135"/>
      <c r="M201" s="135"/>
      <c r="N201" s="135"/>
      <c r="O201" s="288"/>
      <c r="P201" s="181"/>
      <c r="Q201" s="135"/>
      <c r="R201" s="135"/>
      <c r="S201" s="138"/>
      <c r="T201" s="135"/>
      <c r="U201" s="151"/>
      <c r="V201" s="135"/>
      <c r="W201" s="151"/>
      <c r="X201" s="135"/>
      <c r="Y201" s="217"/>
      <c r="Z201" s="151"/>
      <c r="AA201" s="69"/>
      <c r="AB201" s="151"/>
      <c r="AC201" s="151"/>
      <c r="AD201" s="151"/>
      <c r="AE201" s="151"/>
      <c r="AF201" s="151"/>
      <c r="AG201" s="151"/>
      <c r="AH201" s="151"/>
      <c r="AI201" s="151"/>
      <c r="AJ201" s="151"/>
      <c r="AK201" s="151"/>
      <c r="AL201" s="151"/>
      <c r="AM201" s="151"/>
      <c r="AN201" s="151"/>
    </row>
    <row r="202" spans="1:40" ht="46.15" customHeight="1" x14ac:dyDescent="0.2">
      <c r="A202" s="21"/>
      <c r="B202" s="21"/>
      <c r="C202" s="21"/>
      <c r="D202" s="21"/>
      <c r="E202" s="21"/>
      <c r="F202" s="21"/>
      <c r="G202" s="21"/>
      <c r="H202" s="21"/>
      <c r="I202" s="112"/>
      <c r="J202" s="135"/>
      <c r="K202" s="134"/>
      <c r="L202" s="135"/>
      <c r="M202" s="135"/>
      <c r="N202" s="135"/>
      <c r="O202" s="288"/>
      <c r="P202" s="181"/>
      <c r="Q202" s="135"/>
      <c r="R202" s="135"/>
      <c r="S202" s="138"/>
      <c r="T202" s="135"/>
      <c r="U202" s="151"/>
      <c r="V202" s="135"/>
      <c r="W202" s="151"/>
      <c r="X202" s="135"/>
      <c r="Y202" s="217"/>
      <c r="Z202" s="151"/>
      <c r="AA202" s="69"/>
      <c r="AB202" s="151"/>
      <c r="AC202" s="151"/>
      <c r="AD202" s="151"/>
      <c r="AE202" s="151"/>
      <c r="AF202" s="151"/>
      <c r="AG202" s="151"/>
      <c r="AH202" s="151"/>
      <c r="AI202" s="151"/>
      <c r="AJ202" s="151"/>
      <c r="AK202" s="151"/>
      <c r="AL202" s="151"/>
      <c r="AM202" s="151"/>
      <c r="AN202" s="151"/>
    </row>
    <row r="203" spans="1:40" ht="46.15" customHeight="1" x14ac:dyDescent="0.2">
      <c r="A203" s="21"/>
      <c r="B203" s="21"/>
      <c r="C203" s="21"/>
      <c r="D203" s="21"/>
      <c r="E203" s="21"/>
      <c r="F203" s="21"/>
      <c r="G203" s="21"/>
      <c r="H203" s="21"/>
      <c r="I203" s="112"/>
      <c r="J203" s="135"/>
      <c r="K203" s="134"/>
      <c r="L203" s="135"/>
      <c r="M203" s="135"/>
      <c r="N203" s="135"/>
      <c r="O203" s="288"/>
      <c r="P203" s="181"/>
      <c r="Q203" s="135"/>
      <c r="R203" s="135"/>
      <c r="S203" s="138"/>
      <c r="T203" s="135"/>
      <c r="U203" s="151"/>
      <c r="V203" s="135"/>
      <c r="W203" s="151"/>
      <c r="X203" s="135"/>
      <c r="Y203" s="217"/>
      <c r="Z203" s="151"/>
      <c r="AA203" s="69"/>
      <c r="AB203" s="151"/>
      <c r="AC203" s="151"/>
      <c r="AD203" s="151"/>
      <c r="AE203" s="151"/>
      <c r="AF203" s="151"/>
      <c r="AG203" s="151"/>
      <c r="AH203" s="151"/>
      <c r="AI203" s="151"/>
      <c r="AJ203" s="151"/>
      <c r="AK203" s="151"/>
      <c r="AL203" s="151"/>
      <c r="AM203" s="151"/>
      <c r="AN203" s="151"/>
    </row>
    <row r="204" spans="1:40" ht="46.15" customHeight="1" x14ac:dyDescent="0.2">
      <c r="A204" s="21"/>
      <c r="B204" s="21"/>
      <c r="C204" s="21"/>
      <c r="D204" s="21"/>
      <c r="E204" s="21"/>
      <c r="F204" s="21"/>
      <c r="G204" s="21"/>
      <c r="H204" s="21"/>
      <c r="I204" s="112"/>
      <c r="J204" s="135"/>
      <c r="K204" s="134"/>
      <c r="L204" s="135"/>
      <c r="M204" s="135"/>
      <c r="N204" s="135"/>
      <c r="O204" s="288"/>
      <c r="P204" s="181"/>
      <c r="Q204" s="135"/>
      <c r="R204" s="135"/>
      <c r="S204" s="138"/>
      <c r="T204" s="135"/>
      <c r="U204" s="151"/>
      <c r="V204" s="135"/>
      <c r="W204" s="151"/>
      <c r="X204" s="135"/>
      <c r="Y204" s="217"/>
      <c r="Z204" s="151"/>
      <c r="AA204" s="69"/>
      <c r="AB204" s="151"/>
      <c r="AC204" s="151"/>
      <c r="AD204" s="151"/>
      <c r="AE204" s="151"/>
      <c r="AF204" s="151"/>
      <c r="AG204" s="151"/>
      <c r="AH204" s="151"/>
      <c r="AI204" s="151"/>
      <c r="AJ204" s="151"/>
      <c r="AK204" s="151"/>
      <c r="AL204" s="151"/>
      <c r="AM204" s="151"/>
      <c r="AN204" s="151"/>
    </row>
    <row r="205" spans="1:40" ht="46.15" customHeight="1" x14ac:dyDescent="0.2">
      <c r="A205" s="21"/>
      <c r="B205" s="21"/>
      <c r="C205" s="21"/>
      <c r="D205" s="21"/>
      <c r="E205" s="21"/>
      <c r="F205" s="21"/>
      <c r="G205" s="21"/>
      <c r="H205" s="21"/>
      <c r="I205" s="112"/>
      <c r="J205" s="135"/>
      <c r="K205" s="134"/>
      <c r="L205" s="135"/>
      <c r="M205" s="135"/>
      <c r="N205" s="135"/>
      <c r="O205" s="288"/>
      <c r="P205" s="181"/>
      <c r="Q205" s="135"/>
      <c r="R205" s="135"/>
      <c r="S205" s="138"/>
      <c r="T205" s="135"/>
      <c r="U205" s="151"/>
      <c r="V205" s="135"/>
      <c r="W205" s="151"/>
      <c r="X205" s="135"/>
      <c r="Y205" s="217"/>
      <c r="Z205" s="151"/>
      <c r="AA205" s="69"/>
      <c r="AB205" s="151"/>
      <c r="AC205" s="151"/>
      <c r="AD205" s="151"/>
      <c r="AE205" s="151"/>
      <c r="AF205" s="151"/>
      <c r="AG205" s="151"/>
      <c r="AH205" s="151"/>
      <c r="AI205" s="151"/>
      <c r="AJ205" s="151"/>
      <c r="AK205" s="151"/>
      <c r="AL205" s="151"/>
      <c r="AM205" s="151"/>
      <c r="AN205" s="151"/>
    </row>
    <row r="206" spans="1:40" ht="46.15" customHeight="1" x14ac:dyDescent="0.2">
      <c r="A206" s="21"/>
      <c r="B206" s="21"/>
      <c r="C206" s="21"/>
      <c r="D206" s="21"/>
      <c r="E206" s="21"/>
      <c r="F206" s="21"/>
      <c r="G206" s="21"/>
      <c r="H206" s="21"/>
      <c r="I206" s="112"/>
      <c r="J206" s="135"/>
      <c r="K206" s="134"/>
      <c r="L206" s="135"/>
      <c r="M206" s="135"/>
      <c r="N206" s="135"/>
      <c r="O206" s="288"/>
      <c r="P206" s="181"/>
      <c r="Q206" s="135"/>
      <c r="R206" s="135"/>
      <c r="S206" s="138"/>
      <c r="T206" s="135"/>
      <c r="U206" s="151"/>
      <c r="V206" s="135"/>
      <c r="W206" s="151"/>
      <c r="X206" s="135"/>
      <c r="Y206" s="217"/>
      <c r="Z206" s="151"/>
      <c r="AA206" s="69"/>
      <c r="AB206" s="151"/>
      <c r="AC206" s="151"/>
      <c r="AD206" s="151"/>
      <c r="AE206" s="151"/>
      <c r="AF206" s="151"/>
      <c r="AG206" s="151"/>
      <c r="AH206" s="151"/>
      <c r="AI206" s="151"/>
      <c r="AJ206" s="151"/>
      <c r="AK206" s="151"/>
      <c r="AL206" s="151"/>
      <c r="AM206" s="151"/>
      <c r="AN206" s="151"/>
    </row>
    <row r="207" spans="1:40" ht="46.15" customHeight="1" x14ac:dyDescent="0.2">
      <c r="A207" s="21"/>
      <c r="B207" s="21"/>
      <c r="C207" s="21"/>
      <c r="D207" s="21"/>
      <c r="E207" s="21"/>
      <c r="F207" s="21"/>
      <c r="G207" s="21"/>
      <c r="H207" s="21"/>
      <c r="I207" s="112"/>
      <c r="J207" s="135"/>
      <c r="K207" s="134"/>
      <c r="L207" s="135"/>
      <c r="M207" s="135"/>
      <c r="N207" s="135"/>
      <c r="O207" s="288"/>
      <c r="P207" s="181"/>
      <c r="Q207" s="135"/>
      <c r="R207" s="135"/>
      <c r="S207" s="138"/>
      <c r="T207" s="135"/>
      <c r="U207" s="151"/>
      <c r="V207" s="135"/>
      <c r="W207" s="151"/>
      <c r="X207" s="135"/>
      <c r="Y207" s="217"/>
      <c r="Z207" s="151"/>
      <c r="AA207" s="69"/>
      <c r="AB207" s="151"/>
      <c r="AC207" s="151"/>
      <c r="AD207" s="151"/>
      <c r="AE207" s="151"/>
      <c r="AF207" s="151"/>
      <c r="AG207" s="151"/>
      <c r="AH207" s="151"/>
      <c r="AI207" s="151"/>
      <c r="AJ207" s="151"/>
      <c r="AK207" s="151"/>
      <c r="AL207" s="151"/>
      <c r="AM207" s="151"/>
      <c r="AN207" s="151"/>
    </row>
    <row r="208" spans="1:40" ht="46.15" customHeight="1" x14ac:dyDescent="0.2">
      <c r="A208" s="21"/>
      <c r="B208" s="21"/>
      <c r="C208" s="21"/>
      <c r="D208" s="21"/>
      <c r="E208" s="21"/>
      <c r="F208" s="21"/>
      <c r="G208" s="21"/>
      <c r="H208" s="21"/>
      <c r="I208" s="112"/>
      <c r="J208" s="135"/>
      <c r="K208" s="134"/>
      <c r="L208" s="135"/>
      <c r="M208" s="135"/>
      <c r="N208" s="135"/>
      <c r="O208" s="288"/>
      <c r="P208" s="181"/>
      <c r="Q208" s="135"/>
      <c r="R208" s="135"/>
      <c r="S208" s="138"/>
      <c r="T208" s="135"/>
      <c r="U208" s="151"/>
      <c r="V208" s="135"/>
      <c r="W208" s="151"/>
      <c r="X208" s="135"/>
      <c r="Y208" s="217"/>
      <c r="Z208" s="151"/>
      <c r="AA208" s="69"/>
      <c r="AB208" s="151"/>
      <c r="AC208" s="151"/>
      <c r="AD208" s="151"/>
      <c r="AE208" s="151"/>
      <c r="AF208" s="151"/>
      <c r="AG208" s="151"/>
      <c r="AH208" s="151"/>
      <c r="AI208" s="151"/>
      <c r="AJ208" s="151"/>
      <c r="AK208" s="151"/>
      <c r="AL208" s="151"/>
      <c r="AM208" s="151"/>
      <c r="AN208" s="151"/>
    </row>
    <row r="209" spans="1:40" ht="46.15" customHeight="1" x14ac:dyDescent="0.2">
      <c r="A209" s="21"/>
      <c r="B209" s="21"/>
      <c r="C209" s="21"/>
      <c r="D209" s="21"/>
      <c r="E209" s="21"/>
      <c r="F209" s="21"/>
      <c r="G209" s="21"/>
      <c r="H209" s="21"/>
      <c r="I209" s="112"/>
      <c r="J209" s="135"/>
      <c r="K209" s="134"/>
      <c r="L209" s="135"/>
      <c r="M209" s="135"/>
      <c r="N209" s="135"/>
      <c r="O209" s="288"/>
      <c r="P209" s="181"/>
      <c r="Q209" s="135"/>
      <c r="R209" s="135"/>
      <c r="S209" s="138"/>
      <c r="T209" s="135"/>
      <c r="U209" s="151"/>
      <c r="V209" s="135"/>
      <c r="W209" s="151"/>
      <c r="X209" s="135"/>
      <c r="Y209" s="217"/>
      <c r="Z209" s="151"/>
      <c r="AA209" s="69"/>
      <c r="AB209" s="151"/>
      <c r="AC209" s="151"/>
      <c r="AD209" s="151"/>
      <c r="AE209" s="151"/>
      <c r="AF209" s="151"/>
      <c r="AG209" s="151"/>
      <c r="AH209" s="151"/>
      <c r="AI209" s="151"/>
      <c r="AJ209" s="151"/>
      <c r="AK209" s="151"/>
      <c r="AL209" s="151"/>
      <c r="AM209" s="151"/>
      <c r="AN209" s="151"/>
    </row>
    <row r="210" spans="1:40" ht="46.15" customHeight="1" x14ac:dyDescent="0.2">
      <c r="A210" s="21"/>
      <c r="B210" s="21"/>
      <c r="C210" s="21"/>
      <c r="D210" s="21"/>
      <c r="E210" s="21"/>
      <c r="F210" s="21"/>
      <c r="G210" s="21"/>
      <c r="H210" s="21"/>
      <c r="I210" s="112"/>
      <c r="J210" s="135"/>
      <c r="K210" s="134"/>
      <c r="L210" s="135"/>
      <c r="M210" s="135"/>
      <c r="N210" s="135"/>
      <c r="O210" s="288"/>
      <c r="P210" s="181"/>
      <c r="Q210" s="135"/>
      <c r="R210" s="135"/>
      <c r="S210" s="138"/>
      <c r="T210" s="135"/>
      <c r="U210" s="151"/>
      <c r="V210" s="135"/>
      <c r="W210" s="151"/>
      <c r="X210" s="135"/>
      <c r="Y210" s="217"/>
      <c r="Z210" s="151"/>
      <c r="AA210" s="69"/>
      <c r="AB210" s="151"/>
      <c r="AC210" s="151"/>
      <c r="AD210" s="151"/>
      <c r="AE210" s="151"/>
      <c r="AF210" s="151"/>
      <c r="AG210" s="151"/>
      <c r="AH210" s="151"/>
      <c r="AI210" s="151"/>
      <c r="AJ210" s="151"/>
      <c r="AK210" s="151"/>
      <c r="AL210" s="151"/>
      <c r="AM210" s="151"/>
      <c r="AN210" s="151"/>
    </row>
    <row r="211" spans="1:40" ht="46.15" customHeight="1" x14ac:dyDescent="0.2">
      <c r="A211" s="21"/>
      <c r="B211" s="21"/>
      <c r="C211" s="21"/>
      <c r="D211" s="21"/>
      <c r="E211" s="21"/>
      <c r="F211" s="21"/>
      <c r="G211" s="21"/>
      <c r="H211" s="21"/>
      <c r="I211" s="112"/>
      <c r="J211" s="135"/>
      <c r="K211" s="134"/>
      <c r="L211" s="135"/>
      <c r="M211" s="135"/>
      <c r="N211" s="135"/>
      <c r="O211" s="288"/>
      <c r="P211" s="181"/>
      <c r="Q211" s="135"/>
      <c r="R211" s="135"/>
      <c r="S211" s="138"/>
      <c r="T211" s="135"/>
      <c r="U211" s="151"/>
      <c r="V211" s="135"/>
      <c r="W211" s="151"/>
      <c r="X211" s="135"/>
      <c r="Y211" s="217"/>
      <c r="Z211" s="151"/>
      <c r="AA211" s="69"/>
      <c r="AB211" s="151"/>
      <c r="AC211" s="151"/>
      <c r="AD211" s="151"/>
      <c r="AE211" s="151"/>
      <c r="AF211" s="151"/>
      <c r="AG211" s="151"/>
      <c r="AH211" s="151"/>
      <c r="AI211" s="151"/>
      <c r="AJ211" s="151"/>
      <c r="AK211" s="151"/>
      <c r="AL211" s="151"/>
      <c r="AM211" s="151"/>
      <c r="AN211" s="151"/>
    </row>
    <row r="212" spans="1:40" ht="46.15" customHeight="1" x14ac:dyDescent="0.2">
      <c r="A212" s="21"/>
      <c r="B212" s="21"/>
      <c r="C212" s="21"/>
      <c r="D212" s="21"/>
      <c r="E212" s="21"/>
      <c r="F212" s="21"/>
      <c r="G212" s="21"/>
      <c r="H212" s="21"/>
      <c r="I212" s="112"/>
      <c r="J212" s="135"/>
      <c r="K212" s="134"/>
      <c r="L212" s="135"/>
      <c r="M212" s="135"/>
      <c r="N212" s="135"/>
      <c r="O212" s="288"/>
      <c r="P212" s="181"/>
      <c r="Q212" s="135"/>
      <c r="R212" s="135"/>
      <c r="S212" s="138"/>
      <c r="T212" s="135"/>
      <c r="U212" s="151"/>
      <c r="V212" s="135"/>
      <c r="W212" s="151"/>
      <c r="X212" s="135"/>
      <c r="Y212" s="217"/>
      <c r="Z212" s="151"/>
      <c r="AA212" s="69"/>
      <c r="AB212" s="151"/>
      <c r="AC212" s="151"/>
      <c r="AD212" s="151"/>
      <c r="AE212" s="151"/>
      <c r="AF212" s="151"/>
      <c r="AG212" s="151"/>
      <c r="AH212" s="151"/>
      <c r="AI212" s="151"/>
      <c r="AJ212" s="151"/>
      <c r="AK212" s="151"/>
      <c r="AL212" s="151"/>
      <c r="AM212" s="151"/>
      <c r="AN212" s="151"/>
    </row>
    <row r="213" spans="1:40" ht="46.15" customHeight="1" x14ac:dyDescent="0.2">
      <c r="A213" s="21"/>
      <c r="B213" s="21"/>
      <c r="C213" s="21"/>
      <c r="D213" s="21"/>
      <c r="E213" s="21"/>
      <c r="F213" s="21"/>
      <c r="G213" s="21"/>
      <c r="H213" s="21"/>
      <c r="I213" s="112"/>
      <c r="J213" s="135"/>
      <c r="K213" s="134"/>
      <c r="L213" s="135"/>
      <c r="M213" s="135"/>
      <c r="N213" s="135"/>
      <c r="O213" s="288"/>
      <c r="P213" s="181"/>
      <c r="Q213" s="135"/>
      <c r="R213" s="135"/>
      <c r="S213" s="138"/>
      <c r="T213" s="135"/>
      <c r="U213" s="151"/>
      <c r="V213" s="135"/>
      <c r="W213" s="151"/>
      <c r="X213" s="135"/>
      <c r="Y213" s="217"/>
      <c r="Z213" s="151"/>
      <c r="AA213" s="69"/>
      <c r="AB213" s="151"/>
      <c r="AC213" s="151"/>
      <c r="AD213" s="151"/>
      <c r="AE213" s="151"/>
      <c r="AF213" s="151"/>
      <c r="AG213" s="151"/>
      <c r="AH213" s="151"/>
      <c r="AI213" s="151"/>
      <c r="AJ213" s="151"/>
      <c r="AK213" s="151"/>
      <c r="AL213" s="151"/>
      <c r="AM213" s="151"/>
      <c r="AN213" s="151"/>
    </row>
    <row r="214" spans="1:40" ht="46.15" customHeight="1" x14ac:dyDescent="0.2">
      <c r="A214" s="21"/>
      <c r="B214" s="21"/>
      <c r="C214" s="21"/>
      <c r="D214" s="21"/>
      <c r="E214" s="21"/>
      <c r="F214" s="21"/>
      <c r="G214" s="21"/>
      <c r="H214" s="21"/>
      <c r="I214" s="112"/>
      <c r="J214" s="135"/>
      <c r="K214" s="134"/>
      <c r="L214" s="135"/>
      <c r="M214" s="135"/>
      <c r="N214" s="135"/>
      <c r="O214" s="288"/>
      <c r="P214" s="181"/>
      <c r="Q214" s="135"/>
      <c r="R214" s="135"/>
      <c r="S214" s="138"/>
      <c r="T214" s="135"/>
      <c r="U214" s="151"/>
      <c r="V214" s="135"/>
      <c r="W214" s="151"/>
      <c r="X214" s="135"/>
      <c r="Y214" s="217"/>
      <c r="Z214" s="151"/>
      <c r="AA214" s="69"/>
      <c r="AB214" s="151"/>
      <c r="AC214" s="151"/>
      <c r="AD214" s="151"/>
      <c r="AE214" s="151"/>
      <c r="AF214" s="151"/>
      <c r="AG214" s="151"/>
      <c r="AH214" s="151"/>
      <c r="AI214" s="151"/>
      <c r="AJ214" s="151"/>
      <c r="AK214" s="151"/>
      <c r="AL214" s="151"/>
      <c r="AM214" s="151"/>
      <c r="AN214" s="151"/>
    </row>
    <row r="215" spans="1:40" ht="46.15" customHeight="1" x14ac:dyDescent="0.2">
      <c r="A215" s="21"/>
      <c r="B215" s="21"/>
      <c r="C215" s="21"/>
      <c r="D215" s="21"/>
      <c r="E215" s="21"/>
      <c r="F215" s="21"/>
      <c r="G215" s="21"/>
      <c r="H215" s="21"/>
      <c r="I215" s="112"/>
      <c r="J215" s="135"/>
      <c r="K215" s="134"/>
      <c r="L215" s="135"/>
      <c r="M215" s="135"/>
      <c r="N215" s="135"/>
      <c r="O215" s="288"/>
      <c r="P215" s="181"/>
      <c r="Q215" s="135"/>
      <c r="R215" s="135"/>
      <c r="S215" s="138"/>
      <c r="T215" s="135"/>
      <c r="U215" s="151"/>
      <c r="V215" s="135"/>
      <c r="W215" s="151"/>
      <c r="X215" s="135"/>
      <c r="Y215" s="217"/>
      <c r="Z215" s="151"/>
      <c r="AA215" s="69"/>
      <c r="AB215" s="151"/>
      <c r="AC215" s="151"/>
      <c r="AD215" s="151"/>
      <c r="AE215" s="151"/>
      <c r="AF215" s="151"/>
      <c r="AG215" s="151"/>
      <c r="AH215" s="151"/>
      <c r="AI215" s="151"/>
      <c r="AJ215" s="151"/>
      <c r="AK215" s="151"/>
      <c r="AL215" s="151"/>
      <c r="AM215" s="151"/>
      <c r="AN215" s="151"/>
    </row>
    <row r="216" spans="1:40" ht="46.15" customHeight="1" x14ac:dyDescent="0.2">
      <c r="A216" s="21"/>
      <c r="B216" s="21"/>
      <c r="C216" s="21"/>
      <c r="D216" s="21"/>
      <c r="E216" s="21"/>
      <c r="F216" s="21"/>
      <c r="G216" s="21"/>
      <c r="H216" s="21"/>
      <c r="I216" s="112"/>
      <c r="J216" s="135"/>
      <c r="K216" s="134"/>
      <c r="L216" s="135"/>
      <c r="M216" s="135"/>
      <c r="N216" s="135"/>
      <c r="O216" s="288"/>
      <c r="P216" s="181"/>
      <c r="Q216" s="135"/>
      <c r="R216" s="135"/>
      <c r="S216" s="138"/>
      <c r="T216" s="135"/>
      <c r="U216" s="151"/>
      <c r="V216" s="135"/>
      <c r="W216" s="151"/>
      <c r="X216" s="135"/>
      <c r="Y216" s="217"/>
      <c r="Z216" s="151"/>
      <c r="AA216" s="69"/>
      <c r="AB216" s="151"/>
      <c r="AC216" s="151"/>
      <c r="AD216" s="151"/>
      <c r="AE216" s="151"/>
      <c r="AF216" s="151"/>
      <c r="AG216" s="151"/>
      <c r="AH216" s="151"/>
      <c r="AI216" s="151"/>
      <c r="AJ216" s="151"/>
      <c r="AK216" s="151"/>
      <c r="AL216" s="151"/>
      <c r="AM216" s="151"/>
      <c r="AN216" s="151"/>
    </row>
    <row r="217" spans="1:40" ht="46.15" customHeight="1" x14ac:dyDescent="0.2">
      <c r="A217" s="21"/>
      <c r="B217" s="21"/>
      <c r="C217" s="21"/>
      <c r="D217" s="21"/>
      <c r="E217" s="21"/>
      <c r="F217" s="21"/>
      <c r="G217" s="21"/>
      <c r="H217" s="21"/>
      <c r="I217" s="112"/>
      <c r="J217" s="135"/>
      <c r="K217" s="134"/>
      <c r="L217" s="135"/>
      <c r="M217" s="135"/>
      <c r="N217" s="135"/>
      <c r="O217" s="288"/>
      <c r="P217" s="181"/>
      <c r="Q217" s="135"/>
      <c r="R217" s="135"/>
      <c r="S217" s="138"/>
      <c r="T217" s="135"/>
      <c r="U217" s="151"/>
      <c r="V217" s="135"/>
      <c r="W217" s="151"/>
      <c r="X217" s="135"/>
      <c r="Y217" s="217"/>
      <c r="Z217" s="151"/>
      <c r="AA217" s="69"/>
      <c r="AB217" s="151"/>
      <c r="AC217" s="151"/>
      <c r="AD217" s="151"/>
      <c r="AE217" s="151"/>
      <c r="AF217" s="151"/>
      <c r="AG217" s="151"/>
      <c r="AH217" s="151"/>
      <c r="AI217" s="151"/>
      <c r="AJ217" s="151"/>
      <c r="AK217" s="151"/>
      <c r="AL217" s="151"/>
      <c r="AM217" s="151"/>
      <c r="AN217" s="151"/>
    </row>
    <row r="218" spans="1:40" ht="46.15" customHeight="1" x14ac:dyDescent="0.2">
      <c r="A218" s="21"/>
      <c r="B218" s="21"/>
      <c r="C218" s="21"/>
      <c r="D218" s="21"/>
      <c r="E218" s="21"/>
      <c r="F218" s="21"/>
      <c r="G218" s="21"/>
      <c r="H218" s="21"/>
      <c r="I218" s="112"/>
      <c r="J218" s="135"/>
      <c r="K218" s="134"/>
      <c r="L218" s="135"/>
      <c r="M218" s="135"/>
      <c r="N218" s="135"/>
      <c r="O218" s="288"/>
      <c r="P218" s="181"/>
      <c r="Q218" s="135"/>
      <c r="R218" s="135"/>
      <c r="S218" s="138"/>
      <c r="T218" s="135"/>
      <c r="U218" s="151"/>
      <c r="V218" s="135"/>
      <c r="W218" s="151"/>
      <c r="X218" s="135"/>
      <c r="Y218" s="217"/>
      <c r="Z218" s="151"/>
      <c r="AA218" s="69"/>
      <c r="AB218" s="151"/>
      <c r="AC218" s="151"/>
      <c r="AD218" s="151"/>
      <c r="AE218" s="151"/>
      <c r="AF218" s="151"/>
      <c r="AG218" s="151"/>
      <c r="AH218" s="151"/>
      <c r="AI218" s="151"/>
      <c r="AJ218" s="151"/>
      <c r="AK218" s="151"/>
      <c r="AL218" s="151"/>
      <c r="AM218" s="151"/>
      <c r="AN218" s="151"/>
    </row>
    <row r="219" spans="1:40" ht="46.15" customHeight="1" x14ac:dyDescent="0.2">
      <c r="A219" s="21"/>
      <c r="B219" s="21"/>
      <c r="C219" s="21"/>
      <c r="D219" s="21"/>
      <c r="E219" s="21"/>
      <c r="F219" s="21"/>
      <c r="G219" s="21"/>
      <c r="H219" s="21"/>
      <c r="I219" s="112"/>
      <c r="J219" s="135"/>
      <c r="K219" s="134"/>
      <c r="L219" s="135"/>
      <c r="M219" s="135"/>
      <c r="N219" s="135"/>
      <c r="O219" s="288"/>
      <c r="P219" s="181"/>
      <c r="Q219" s="135"/>
      <c r="R219" s="135"/>
      <c r="S219" s="138"/>
      <c r="T219" s="135"/>
      <c r="U219" s="151"/>
      <c r="V219" s="135"/>
      <c r="W219" s="151"/>
      <c r="X219" s="135"/>
      <c r="Y219" s="217"/>
      <c r="Z219" s="151"/>
      <c r="AA219" s="69"/>
      <c r="AB219" s="151"/>
      <c r="AC219" s="151"/>
      <c r="AD219" s="151"/>
      <c r="AE219" s="151"/>
      <c r="AF219" s="151"/>
      <c r="AG219" s="151"/>
      <c r="AH219" s="151"/>
      <c r="AI219" s="151"/>
      <c r="AJ219" s="151"/>
      <c r="AK219" s="151"/>
      <c r="AL219" s="151"/>
      <c r="AM219" s="151"/>
      <c r="AN219" s="151"/>
    </row>
    <row r="220" spans="1:40" ht="46.15" customHeight="1" x14ac:dyDescent="0.2">
      <c r="A220" s="21"/>
      <c r="B220" s="21"/>
      <c r="C220" s="21"/>
      <c r="D220" s="21"/>
      <c r="E220" s="21"/>
      <c r="F220" s="21"/>
      <c r="G220" s="21"/>
      <c r="H220" s="21"/>
      <c r="I220" s="112"/>
      <c r="J220" s="135"/>
      <c r="K220" s="134"/>
      <c r="L220" s="135"/>
      <c r="M220" s="135"/>
      <c r="N220" s="135"/>
      <c r="O220" s="288"/>
      <c r="P220" s="181"/>
      <c r="Q220" s="135"/>
      <c r="R220" s="135"/>
      <c r="S220" s="138"/>
      <c r="T220" s="135"/>
      <c r="U220" s="151"/>
      <c r="V220" s="135"/>
      <c r="W220" s="151"/>
      <c r="X220" s="135"/>
      <c r="Y220" s="217"/>
      <c r="Z220" s="151"/>
      <c r="AA220" s="69"/>
      <c r="AB220" s="151"/>
      <c r="AC220" s="151"/>
      <c r="AD220" s="151"/>
      <c r="AE220" s="151"/>
      <c r="AF220" s="151"/>
      <c r="AG220" s="151"/>
      <c r="AH220" s="151"/>
      <c r="AI220" s="151"/>
      <c r="AJ220" s="151"/>
      <c r="AK220" s="151"/>
      <c r="AL220" s="151"/>
      <c r="AM220" s="151"/>
      <c r="AN220" s="151"/>
    </row>
    <row r="221" spans="1:40" ht="46.15" customHeight="1" x14ac:dyDescent="0.2">
      <c r="A221" s="21"/>
      <c r="B221" s="21"/>
      <c r="C221" s="21"/>
      <c r="D221" s="21"/>
      <c r="E221" s="21"/>
      <c r="F221" s="21"/>
      <c r="G221" s="21"/>
      <c r="H221" s="21"/>
      <c r="I221" s="112"/>
      <c r="J221" s="135"/>
      <c r="K221" s="134"/>
      <c r="L221" s="135"/>
      <c r="M221" s="135"/>
      <c r="N221" s="135"/>
      <c r="O221" s="288"/>
      <c r="P221" s="181"/>
      <c r="Q221" s="135"/>
      <c r="R221" s="135"/>
      <c r="S221" s="138"/>
      <c r="T221" s="135"/>
      <c r="U221" s="151"/>
      <c r="V221" s="135"/>
      <c r="W221" s="151"/>
      <c r="X221" s="135"/>
      <c r="Y221" s="217"/>
      <c r="Z221" s="151"/>
      <c r="AA221" s="69"/>
      <c r="AB221" s="151"/>
      <c r="AC221" s="151"/>
      <c r="AD221" s="151"/>
      <c r="AE221" s="151"/>
      <c r="AF221" s="151"/>
      <c r="AG221" s="151"/>
      <c r="AH221" s="151"/>
      <c r="AI221" s="151"/>
      <c r="AJ221" s="151"/>
      <c r="AK221" s="151"/>
      <c r="AL221" s="151"/>
      <c r="AM221" s="151"/>
      <c r="AN221" s="151"/>
    </row>
    <row r="222" spans="1:40" ht="46.15" customHeight="1" x14ac:dyDescent="0.2">
      <c r="A222" s="21"/>
      <c r="B222" s="21"/>
      <c r="C222" s="21"/>
      <c r="D222" s="21"/>
      <c r="E222" s="21"/>
      <c r="F222" s="21"/>
      <c r="G222" s="21"/>
      <c r="H222" s="21"/>
      <c r="I222" s="112"/>
      <c r="J222" s="135"/>
      <c r="K222" s="134"/>
      <c r="L222" s="135"/>
      <c r="M222" s="135"/>
      <c r="N222" s="135"/>
      <c r="O222" s="288"/>
      <c r="P222" s="181"/>
      <c r="Q222" s="135"/>
      <c r="R222" s="135"/>
      <c r="S222" s="138"/>
      <c r="T222" s="135"/>
      <c r="U222" s="151"/>
      <c r="V222" s="135"/>
      <c r="W222" s="151"/>
      <c r="X222" s="135"/>
      <c r="Y222" s="217"/>
      <c r="Z222" s="151"/>
      <c r="AA222" s="69"/>
      <c r="AB222" s="151"/>
      <c r="AC222" s="151"/>
      <c r="AD222" s="151"/>
      <c r="AE222" s="151"/>
      <c r="AF222" s="151"/>
      <c r="AG222" s="151"/>
      <c r="AH222" s="151"/>
      <c r="AI222" s="151"/>
      <c r="AJ222" s="151"/>
      <c r="AK222" s="151"/>
      <c r="AL222" s="151"/>
      <c r="AM222" s="151"/>
      <c r="AN222" s="151"/>
    </row>
    <row r="223" spans="1:40" ht="46.15" customHeight="1" x14ac:dyDescent="0.2">
      <c r="A223" s="21"/>
      <c r="B223" s="21"/>
      <c r="C223" s="21"/>
      <c r="D223" s="21"/>
      <c r="E223" s="21"/>
      <c r="F223" s="21"/>
      <c r="G223" s="21"/>
      <c r="H223" s="21"/>
      <c r="I223" s="112"/>
      <c r="J223" s="135"/>
      <c r="K223" s="134"/>
      <c r="L223" s="135"/>
      <c r="M223" s="135"/>
      <c r="N223" s="135"/>
      <c r="O223" s="288"/>
      <c r="P223" s="181"/>
      <c r="Q223" s="135"/>
      <c r="R223" s="135"/>
      <c r="S223" s="138"/>
      <c r="T223" s="135"/>
      <c r="U223" s="151"/>
      <c r="V223" s="135"/>
      <c r="W223" s="151"/>
      <c r="X223" s="135"/>
      <c r="Y223" s="217"/>
      <c r="Z223" s="151"/>
      <c r="AA223" s="69"/>
      <c r="AB223" s="151"/>
      <c r="AC223" s="151"/>
      <c r="AD223" s="151"/>
      <c r="AE223" s="151"/>
      <c r="AF223" s="151"/>
      <c r="AG223" s="151"/>
      <c r="AH223" s="151"/>
      <c r="AI223" s="151"/>
      <c r="AJ223" s="151"/>
      <c r="AK223" s="151"/>
      <c r="AL223" s="151"/>
      <c r="AM223" s="151"/>
      <c r="AN223" s="151"/>
    </row>
    <row r="224" spans="1:40" ht="46.15" customHeight="1" x14ac:dyDescent="0.2">
      <c r="A224" s="21"/>
      <c r="B224" s="21"/>
      <c r="C224" s="21"/>
      <c r="D224" s="21"/>
      <c r="E224" s="21"/>
      <c r="F224" s="21"/>
      <c r="G224" s="21"/>
      <c r="H224" s="21"/>
      <c r="I224" s="112"/>
      <c r="J224" s="135"/>
      <c r="K224" s="134"/>
      <c r="L224" s="135"/>
      <c r="M224" s="135"/>
      <c r="N224" s="135"/>
      <c r="O224" s="288"/>
      <c r="P224" s="181"/>
      <c r="Q224" s="135"/>
      <c r="R224" s="135"/>
      <c r="S224" s="138"/>
      <c r="T224" s="135"/>
      <c r="U224" s="151"/>
      <c r="V224" s="135"/>
      <c r="W224" s="151"/>
      <c r="X224" s="135"/>
      <c r="Y224" s="217"/>
      <c r="Z224" s="151"/>
      <c r="AA224" s="69"/>
      <c r="AB224" s="151"/>
      <c r="AC224" s="151"/>
      <c r="AD224" s="151"/>
      <c r="AE224" s="151"/>
      <c r="AF224" s="151"/>
      <c r="AG224" s="151"/>
      <c r="AH224" s="151"/>
      <c r="AI224" s="151"/>
      <c r="AJ224" s="151"/>
      <c r="AK224" s="151"/>
      <c r="AL224" s="151"/>
      <c r="AM224" s="151"/>
      <c r="AN224" s="151"/>
    </row>
    <row r="225" spans="1:40" ht="46.15" customHeight="1" x14ac:dyDescent="0.2">
      <c r="A225" s="21"/>
      <c r="B225" s="21"/>
      <c r="C225" s="21"/>
      <c r="D225" s="21"/>
      <c r="E225" s="21"/>
      <c r="F225" s="21"/>
      <c r="G225" s="21"/>
      <c r="H225" s="21"/>
      <c r="I225" s="112"/>
      <c r="J225" s="135"/>
      <c r="K225" s="134"/>
      <c r="L225" s="135"/>
      <c r="M225" s="135"/>
      <c r="N225" s="135"/>
      <c r="O225" s="288"/>
      <c r="P225" s="181"/>
      <c r="Q225" s="135"/>
      <c r="R225" s="135"/>
      <c r="S225" s="138"/>
      <c r="T225" s="135"/>
      <c r="U225" s="151"/>
      <c r="V225" s="135"/>
      <c r="W225" s="151"/>
      <c r="X225" s="135"/>
      <c r="Y225" s="217"/>
      <c r="Z225" s="151"/>
      <c r="AA225" s="69"/>
      <c r="AB225" s="151"/>
      <c r="AC225" s="151"/>
      <c r="AD225" s="151"/>
      <c r="AE225" s="151"/>
      <c r="AF225" s="151"/>
      <c r="AG225" s="151"/>
      <c r="AH225" s="151"/>
      <c r="AI225" s="151"/>
      <c r="AJ225" s="151"/>
      <c r="AK225" s="151"/>
      <c r="AL225" s="151"/>
      <c r="AM225" s="151"/>
      <c r="AN225" s="151"/>
    </row>
    <row r="226" spans="1:40" ht="46.15" customHeight="1" x14ac:dyDescent="0.2">
      <c r="A226" s="21"/>
      <c r="B226" s="21"/>
      <c r="C226" s="21"/>
      <c r="D226" s="21"/>
      <c r="E226" s="21"/>
      <c r="F226" s="21"/>
      <c r="G226" s="21"/>
      <c r="H226" s="21"/>
      <c r="I226" s="112"/>
      <c r="J226" s="135"/>
      <c r="K226" s="134"/>
      <c r="L226" s="135"/>
      <c r="M226" s="135"/>
      <c r="N226" s="135"/>
      <c r="O226" s="288"/>
      <c r="P226" s="181"/>
      <c r="Q226" s="135"/>
      <c r="R226" s="135"/>
      <c r="S226" s="138"/>
      <c r="T226" s="135"/>
      <c r="U226" s="151"/>
      <c r="V226" s="135"/>
      <c r="W226" s="151"/>
      <c r="X226" s="135"/>
      <c r="Y226" s="217"/>
      <c r="Z226" s="151"/>
      <c r="AA226" s="69"/>
      <c r="AB226" s="151"/>
      <c r="AC226" s="151"/>
      <c r="AD226" s="151"/>
      <c r="AE226" s="151"/>
      <c r="AF226" s="151"/>
      <c r="AG226" s="151"/>
      <c r="AH226" s="151"/>
      <c r="AI226" s="151"/>
      <c r="AJ226" s="151"/>
      <c r="AK226" s="151"/>
      <c r="AL226" s="151"/>
      <c r="AM226" s="151"/>
      <c r="AN226" s="151"/>
    </row>
    <row r="227" spans="1:40" ht="46.15" customHeight="1" x14ac:dyDescent="0.2">
      <c r="A227" s="21"/>
      <c r="B227" s="21"/>
      <c r="C227" s="21"/>
      <c r="D227" s="21"/>
      <c r="E227" s="21"/>
      <c r="F227" s="21"/>
      <c r="G227" s="21"/>
      <c r="H227" s="21"/>
      <c r="I227" s="112"/>
      <c r="J227" s="135"/>
      <c r="K227" s="134"/>
      <c r="L227" s="135"/>
      <c r="M227" s="135"/>
      <c r="N227" s="135"/>
      <c r="O227" s="288"/>
      <c r="P227" s="181"/>
      <c r="Q227" s="135"/>
      <c r="R227" s="135"/>
      <c r="S227" s="138"/>
      <c r="T227" s="135"/>
      <c r="U227" s="151"/>
      <c r="V227" s="135"/>
      <c r="W227" s="151"/>
      <c r="X227" s="135"/>
      <c r="Y227" s="217"/>
      <c r="Z227" s="151"/>
      <c r="AA227" s="69"/>
      <c r="AB227" s="151"/>
      <c r="AC227" s="151"/>
      <c r="AD227" s="151"/>
      <c r="AE227" s="151"/>
      <c r="AF227" s="151"/>
      <c r="AG227" s="151"/>
      <c r="AH227" s="151"/>
      <c r="AI227" s="151"/>
      <c r="AJ227" s="151"/>
      <c r="AK227" s="151"/>
      <c r="AL227" s="151"/>
      <c r="AM227" s="151"/>
      <c r="AN227" s="151"/>
    </row>
    <row r="228" spans="1:40" ht="46.15" customHeight="1" x14ac:dyDescent="0.2">
      <c r="A228" s="21"/>
      <c r="B228" s="21"/>
      <c r="C228" s="21"/>
      <c r="D228" s="21"/>
      <c r="E228" s="21"/>
      <c r="F228" s="21"/>
      <c r="G228" s="21"/>
      <c r="H228" s="21"/>
      <c r="I228" s="112"/>
      <c r="J228" s="135"/>
      <c r="K228" s="134"/>
      <c r="L228" s="135"/>
      <c r="M228" s="135"/>
      <c r="N228" s="135"/>
      <c r="O228" s="288"/>
      <c r="P228" s="181"/>
      <c r="Q228" s="135"/>
      <c r="R228" s="135"/>
      <c r="S228" s="138"/>
      <c r="T228" s="135"/>
      <c r="U228" s="151"/>
      <c r="V228" s="135"/>
      <c r="W228" s="151"/>
      <c r="X228" s="135"/>
      <c r="Y228" s="217"/>
      <c r="Z228" s="151"/>
      <c r="AA228" s="69"/>
      <c r="AB228" s="151"/>
      <c r="AC228" s="151"/>
      <c r="AD228" s="151"/>
      <c r="AE228" s="151"/>
      <c r="AF228" s="151"/>
      <c r="AG228" s="151"/>
      <c r="AH228" s="151"/>
      <c r="AI228" s="151"/>
      <c r="AJ228" s="151"/>
      <c r="AK228" s="151"/>
      <c r="AL228" s="151"/>
      <c r="AM228" s="151"/>
      <c r="AN228" s="151"/>
    </row>
    <row r="229" spans="1:40" ht="46.15" customHeight="1" x14ac:dyDescent="0.2">
      <c r="A229" s="21"/>
      <c r="B229" s="21"/>
      <c r="C229" s="21"/>
      <c r="D229" s="21"/>
      <c r="E229" s="21"/>
      <c r="F229" s="21"/>
      <c r="G229" s="21"/>
      <c r="H229" s="21"/>
      <c r="I229" s="112"/>
      <c r="J229" s="135"/>
      <c r="K229" s="134"/>
      <c r="L229" s="135"/>
      <c r="M229" s="135"/>
      <c r="N229" s="135"/>
      <c r="O229" s="288"/>
      <c r="P229" s="181"/>
      <c r="Q229" s="135"/>
      <c r="R229" s="135"/>
      <c r="S229" s="138"/>
      <c r="T229" s="135"/>
      <c r="U229" s="151"/>
      <c r="V229" s="135"/>
      <c r="W229" s="151"/>
      <c r="X229" s="135"/>
      <c r="Y229" s="217"/>
      <c r="Z229" s="151"/>
      <c r="AA229" s="69"/>
      <c r="AB229" s="151"/>
      <c r="AC229" s="151"/>
      <c r="AD229" s="151"/>
      <c r="AE229" s="151"/>
      <c r="AF229" s="151"/>
      <c r="AG229" s="151"/>
      <c r="AH229" s="151"/>
      <c r="AI229" s="151"/>
      <c r="AJ229" s="151"/>
      <c r="AK229" s="151"/>
      <c r="AL229" s="151"/>
      <c r="AM229" s="151"/>
      <c r="AN229" s="151"/>
    </row>
    <row r="230" spans="1:40" ht="46.15" customHeight="1" x14ac:dyDescent="0.2">
      <c r="A230" s="21"/>
      <c r="B230" s="21"/>
      <c r="C230" s="21"/>
      <c r="D230" s="21"/>
      <c r="E230" s="21"/>
      <c r="F230" s="21"/>
      <c r="G230" s="21"/>
      <c r="H230" s="21"/>
      <c r="I230" s="112"/>
      <c r="J230" s="135"/>
      <c r="K230" s="134"/>
      <c r="L230" s="135"/>
      <c r="M230" s="135"/>
      <c r="N230" s="135"/>
      <c r="O230" s="288"/>
      <c r="P230" s="181"/>
      <c r="Q230" s="135"/>
      <c r="R230" s="135"/>
      <c r="S230" s="138"/>
      <c r="T230" s="135"/>
      <c r="U230" s="151"/>
      <c r="V230" s="135"/>
      <c r="W230" s="151"/>
      <c r="X230" s="135"/>
      <c r="Y230" s="217"/>
      <c r="Z230" s="151"/>
      <c r="AA230" s="69"/>
      <c r="AB230" s="151"/>
      <c r="AC230" s="151"/>
      <c r="AD230" s="151"/>
      <c r="AE230" s="151"/>
      <c r="AF230" s="151"/>
      <c r="AG230" s="151"/>
      <c r="AH230" s="151"/>
      <c r="AI230" s="151"/>
      <c r="AJ230" s="151"/>
      <c r="AK230" s="151"/>
      <c r="AL230" s="151"/>
      <c r="AM230" s="151"/>
      <c r="AN230" s="151"/>
    </row>
    <row r="231" spans="1:40" ht="46.15" customHeight="1" x14ac:dyDescent="0.2">
      <c r="A231" s="21"/>
      <c r="B231" s="21"/>
      <c r="C231" s="21"/>
      <c r="D231" s="21"/>
      <c r="E231" s="21"/>
      <c r="F231" s="21"/>
      <c r="G231" s="21"/>
      <c r="H231" s="21"/>
      <c r="I231" s="112"/>
      <c r="J231" s="135"/>
      <c r="K231" s="134"/>
      <c r="L231" s="135"/>
      <c r="M231" s="135"/>
      <c r="N231" s="135"/>
      <c r="O231" s="288"/>
      <c r="P231" s="181"/>
      <c r="Q231" s="135"/>
      <c r="R231" s="135"/>
      <c r="S231" s="138"/>
      <c r="T231" s="135"/>
      <c r="U231" s="151"/>
      <c r="V231" s="135"/>
      <c r="W231" s="151"/>
      <c r="X231" s="135"/>
      <c r="Y231" s="217"/>
      <c r="Z231" s="151"/>
      <c r="AA231" s="69"/>
      <c r="AB231" s="151"/>
      <c r="AC231" s="151"/>
      <c r="AD231" s="151"/>
      <c r="AE231" s="151"/>
      <c r="AF231" s="151"/>
      <c r="AG231" s="151"/>
      <c r="AH231" s="151"/>
      <c r="AI231" s="151"/>
      <c r="AJ231" s="151"/>
      <c r="AK231" s="151"/>
      <c r="AL231" s="151"/>
      <c r="AM231" s="151"/>
      <c r="AN231" s="151"/>
    </row>
    <row r="232" spans="1:40" ht="46.15" customHeight="1" x14ac:dyDescent="0.2">
      <c r="A232" s="21"/>
      <c r="B232" s="21"/>
      <c r="C232" s="21"/>
      <c r="D232" s="21"/>
      <c r="E232" s="21"/>
      <c r="F232" s="21"/>
      <c r="G232" s="21"/>
      <c r="H232" s="21"/>
      <c r="I232" s="112"/>
      <c r="J232" s="135"/>
      <c r="K232" s="134"/>
      <c r="L232" s="135"/>
      <c r="M232" s="135"/>
      <c r="N232" s="135"/>
      <c r="O232" s="288"/>
      <c r="P232" s="181"/>
      <c r="Q232" s="135"/>
      <c r="R232" s="135"/>
      <c r="S232" s="138"/>
      <c r="T232" s="135"/>
      <c r="U232" s="151"/>
      <c r="V232" s="135"/>
      <c r="W232" s="151"/>
      <c r="X232" s="135"/>
      <c r="Y232" s="217"/>
      <c r="Z232" s="151"/>
      <c r="AA232" s="69"/>
      <c r="AB232" s="151"/>
      <c r="AC232" s="151"/>
      <c r="AD232" s="151"/>
      <c r="AE232" s="151"/>
      <c r="AF232" s="151"/>
      <c r="AG232" s="151"/>
      <c r="AH232" s="151"/>
      <c r="AI232" s="151"/>
      <c r="AJ232" s="151"/>
      <c r="AK232" s="151"/>
      <c r="AL232" s="151"/>
      <c r="AM232" s="151"/>
      <c r="AN232" s="151"/>
    </row>
    <row r="233" spans="1:40" ht="46.15" customHeight="1" x14ac:dyDescent="0.2">
      <c r="A233" s="21"/>
      <c r="B233" s="21"/>
      <c r="C233" s="21"/>
      <c r="D233" s="21"/>
      <c r="E233" s="21"/>
      <c r="F233" s="21"/>
      <c r="G233" s="21"/>
      <c r="H233" s="21"/>
      <c r="I233" s="112"/>
      <c r="J233" s="135"/>
      <c r="K233" s="134"/>
      <c r="L233" s="135"/>
      <c r="M233" s="135"/>
      <c r="N233" s="135"/>
      <c r="O233" s="288"/>
      <c r="P233" s="181"/>
      <c r="Q233" s="135"/>
      <c r="R233" s="135"/>
      <c r="S233" s="138"/>
      <c r="T233" s="135"/>
      <c r="U233" s="151"/>
      <c r="V233" s="135"/>
      <c r="W233" s="151"/>
      <c r="X233" s="135"/>
      <c r="Y233" s="217"/>
      <c r="Z233" s="151"/>
      <c r="AA233" s="69"/>
      <c r="AB233" s="151"/>
      <c r="AC233" s="151"/>
      <c r="AD233" s="151"/>
      <c r="AE233" s="151"/>
      <c r="AF233" s="151"/>
      <c r="AG233" s="151"/>
      <c r="AH233" s="151"/>
      <c r="AI233" s="151"/>
      <c r="AJ233" s="151"/>
      <c r="AK233" s="151"/>
      <c r="AL233" s="151"/>
      <c r="AM233" s="151"/>
      <c r="AN233" s="151"/>
    </row>
    <row r="234" spans="1:40" ht="46.15" customHeight="1" x14ac:dyDescent="0.2">
      <c r="A234" s="21"/>
      <c r="B234" s="21"/>
      <c r="C234" s="21"/>
      <c r="D234" s="21"/>
      <c r="E234" s="21"/>
      <c r="F234" s="21"/>
      <c r="G234" s="21"/>
      <c r="H234" s="21"/>
      <c r="I234" s="112"/>
      <c r="J234" s="135"/>
      <c r="K234" s="134"/>
      <c r="L234" s="135"/>
      <c r="M234" s="135"/>
      <c r="N234" s="135"/>
      <c r="O234" s="288"/>
      <c r="P234" s="181"/>
      <c r="Q234" s="135"/>
      <c r="R234" s="135"/>
      <c r="S234" s="138"/>
      <c r="T234" s="135"/>
      <c r="U234" s="151"/>
      <c r="V234" s="135"/>
      <c r="W234" s="151"/>
      <c r="X234" s="135"/>
      <c r="Y234" s="217"/>
      <c r="Z234" s="151"/>
      <c r="AA234" s="69"/>
      <c r="AB234" s="151"/>
      <c r="AC234" s="151"/>
      <c r="AD234" s="151"/>
      <c r="AE234" s="151"/>
      <c r="AF234" s="151"/>
      <c r="AG234" s="151"/>
      <c r="AH234" s="151"/>
      <c r="AI234" s="151"/>
      <c r="AJ234" s="151"/>
      <c r="AK234" s="151"/>
      <c r="AL234" s="151"/>
      <c r="AM234" s="151"/>
      <c r="AN234" s="151"/>
    </row>
    <row r="235" spans="1:40" ht="46.15" customHeight="1" x14ac:dyDescent="0.2">
      <c r="A235" s="21"/>
      <c r="B235" s="21"/>
      <c r="C235" s="21"/>
      <c r="D235" s="21"/>
      <c r="E235" s="21"/>
      <c r="F235" s="21"/>
      <c r="G235" s="21"/>
      <c r="H235" s="21"/>
      <c r="I235" s="112"/>
      <c r="J235" s="135"/>
      <c r="K235" s="134"/>
      <c r="L235" s="135"/>
      <c r="M235" s="135"/>
      <c r="N235" s="135"/>
      <c r="O235" s="288"/>
      <c r="P235" s="181"/>
      <c r="Q235" s="135"/>
      <c r="R235" s="135"/>
      <c r="S235" s="138"/>
      <c r="T235" s="135"/>
      <c r="U235" s="151"/>
      <c r="V235" s="135"/>
      <c r="W235" s="151"/>
      <c r="X235" s="135"/>
      <c r="Y235" s="217"/>
      <c r="Z235" s="151"/>
      <c r="AA235" s="69"/>
      <c r="AB235" s="151"/>
      <c r="AC235" s="151"/>
      <c r="AD235" s="151"/>
      <c r="AE235" s="151"/>
      <c r="AF235" s="151"/>
      <c r="AG235" s="151"/>
      <c r="AH235" s="151"/>
      <c r="AI235" s="151"/>
      <c r="AJ235" s="151"/>
      <c r="AK235" s="151"/>
      <c r="AL235" s="151"/>
      <c r="AM235" s="151"/>
      <c r="AN235" s="151"/>
    </row>
    <row r="236" spans="1:40" ht="46.15" customHeight="1" x14ac:dyDescent="0.2">
      <c r="A236" s="21"/>
      <c r="B236" s="21"/>
      <c r="C236" s="21"/>
      <c r="D236" s="21"/>
      <c r="E236" s="21"/>
      <c r="F236" s="21"/>
      <c r="G236" s="21"/>
      <c r="H236" s="21"/>
      <c r="I236" s="112"/>
      <c r="J236" s="135"/>
      <c r="K236" s="134"/>
      <c r="L236" s="135"/>
      <c r="M236" s="135"/>
      <c r="N236" s="135"/>
      <c r="O236" s="288"/>
      <c r="P236" s="181"/>
      <c r="Q236" s="135"/>
      <c r="R236" s="135"/>
      <c r="S236" s="138"/>
      <c r="T236" s="135"/>
      <c r="U236" s="151"/>
      <c r="V236" s="135"/>
      <c r="W236" s="151"/>
      <c r="X236" s="135"/>
      <c r="Y236" s="217"/>
      <c r="Z236" s="151"/>
      <c r="AA236" s="69"/>
      <c r="AB236" s="151"/>
      <c r="AC236" s="151"/>
      <c r="AD236" s="151"/>
      <c r="AE236" s="151"/>
      <c r="AF236" s="151"/>
      <c r="AG236" s="151"/>
      <c r="AH236" s="151"/>
      <c r="AI236" s="151"/>
      <c r="AJ236" s="151"/>
      <c r="AK236" s="151"/>
      <c r="AL236" s="151"/>
      <c r="AM236" s="151"/>
      <c r="AN236" s="151"/>
    </row>
    <row r="237" spans="1:40" ht="46.15" customHeight="1" x14ac:dyDescent="0.2">
      <c r="A237" s="21"/>
      <c r="B237" s="21"/>
      <c r="C237" s="21"/>
      <c r="D237" s="21"/>
      <c r="E237" s="21"/>
      <c r="F237" s="21"/>
      <c r="G237" s="21"/>
      <c r="H237" s="21"/>
      <c r="I237" s="112"/>
      <c r="J237" s="135"/>
      <c r="K237" s="134"/>
      <c r="L237" s="135"/>
      <c r="M237" s="135"/>
      <c r="N237" s="135"/>
      <c r="O237" s="288"/>
      <c r="P237" s="181"/>
      <c r="Q237" s="135"/>
      <c r="R237" s="135"/>
      <c r="S237" s="138"/>
      <c r="T237" s="135"/>
      <c r="U237" s="151"/>
      <c r="V237" s="135"/>
      <c r="W237" s="151"/>
      <c r="X237" s="135"/>
      <c r="Y237" s="217"/>
      <c r="Z237" s="151"/>
      <c r="AA237" s="69"/>
      <c r="AB237" s="151"/>
      <c r="AC237" s="151"/>
      <c r="AD237" s="151"/>
      <c r="AE237" s="151"/>
      <c r="AF237" s="151"/>
      <c r="AG237" s="151"/>
      <c r="AH237" s="151"/>
      <c r="AI237" s="151"/>
      <c r="AJ237" s="151"/>
      <c r="AK237" s="151"/>
      <c r="AL237" s="151"/>
      <c r="AM237" s="151"/>
      <c r="AN237" s="151"/>
    </row>
    <row r="238" spans="1:40" ht="46.15" customHeight="1" x14ac:dyDescent="0.2">
      <c r="A238" s="21"/>
      <c r="B238" s="21"/>
      <c r="C238" s="21"/>
      <c r="D238" s="21"/>
      <c r="E238" s="21"/>
      <c r="F238" s="21"/>
      <c r="G238" s="21"/>
      <c r="H238" s="21"/>
      <c r="I238" s="112"/>
      <c r="J238" s="135"/>
      <c r="K238" s="134"/>
      <c r="L238" s="135"/>
      <c r="M238" s="135"/>
      <c r="N238" s="135"/>
      <c r="O238" s="288"/>
      <c r="P238" s="181"/>
      <c r="Q238" s="135"/>
      <c r="R238" s="135"/>
      <c r="S238" s="138"/>
      <c r="T238" s="135"/>
      <c r="U238" s="151"/>
      <c r="V238" s="135"/>
      <c r="W238" s="151"/>
      <c r="X238" s="135"/>
      <c r="Y238" s="217"/>
      <c r="Z238" s="151"/>
      <c r="AA238" s="69"/>
      <c r="AB238" s="151"/>
      <c r="AC238" s="151"/>
      <c r="AD238" s="151"/>
      <c r="AE238" s="151"/>
      <c r="AF238" s="151"/>
      <c r="AG238" s="151"/>
      <c r="AH238" s="151"/>
      <c r="AI238" s="151"/>
      <c r="AJ238" s="151"/>
      <c r="AK238" s="151"/>
      <c r="AL238" s="151"/>
      <c r="AM238" s="151"/>
      <c r="AN238" s="151"/>
    </row>
    <row r="239" spans="1:40" ht="46.15" customHeight="1" x14ac:dyDescent="0.2">
      <c r="A239" s="21"/>
      <c r="B239" s="21"/>
      <c r="C239" s="21"/>
      <c r="D239" s="21"/>
      <c r="E239" s="21"/>
      <c r="F239" s="21"/>
      <c r="G239" s="21"/>
      <c r="H239" s="21"/>
      <c r="I239" s="112"/>
      <c r="J239" s="135"/>
      <c r="K239" s="134"/>
      <c r="L239" s="135"/>
      <c r="M239" s="135"/>
      <c r="N239" s="135"/>
      <c r="O239" s="288"/>
      <c r="P239" s="181"/>
      <c r="Q239" s="135"/>
      <c r="R239" s="135"/>
      <c r="S239" s="138"/>
      <c r="T239" s="135"/>
      <c r="U239" s="151"/>
      <c r="V239" s="135"/>
      <c r="W239" s="151"/>
      <c r="X239" s="135"/>
      <c r="Y239" s="217"/>
      <c r="Z239" s="151"/>
      <c r="AA239" s="69"/>
      <c r="AB239" s="151"/>
      <c r="AC239" s="151"/>
      <c r="AD239" s="151"/>
      <c r="AE239" s="151"/>
      <c r="AF239" s="151"/>
      <c r="AG239" s="151"/>
      <c r="AH239" s="151"/>
      <c r="AI239" s="151"/>
      <c r="AJ239" s="151"/>
      <c r="AK239" s="151"/>
      <c r="AL239" s="151"/>
      <c r="AM239" s="151"/>
      <c r="AN239" s="151"/>
    </row>
    <row r="240" spans="1:40" ht="46.15" customHeight="1" x14ac:dyDescent="0.2">
      <c r="A240" s="21"/>
      <c r="B240" s="21"/>
      <c r="C240" s="21"/>
      <c r="D240" s="21"/>
      <c r="E240" s="21"/>
      <c r="F240" s="21"/>
      <c r="G240" s="21"/>
      <c r="H240" s="21"/>
      <c r="I240" s="112"/>
      <c r="J240" s="135"/>
      <c r="K240" s="134"/>
      <c r="L240" s="135"/>
      <c r="M240" s="135"/>
      <c r="N240" s="135"/>
      <c r="O240" s="288"/>
      <c r="P240" s="181"/>
      <c r="Q240" s="135"/>
      <c r="R240" s="135"/>
      <c r="S240" s="138"/>
      <c r="T240" s="135"/>
      <c r="U240" s="151"/>
      <c r="V240" s="135"/>
      <c r="W240" s="151"/>
      <c r="X240" s="135"/>
      <c r="Y240" s="217"/>
      <c r="Z240" s="151"/>
      <c r="AA240" s="69"/>
      <c r="AB240" s="151"/>
      <c r="AC240" s="151"/>
      <c r="AD240" s="151"/>
      <c r="AE240" s="151"/>
      <c r="AF240" s="151"/>
      <c r="AG240" s="151"/>
      <c r="AH240" s="151"/>
      <c r="AI240" s="151"/>
      <c r="AJ240" s="151"/>
      <c r="AK240" s="151"/>
      <c r="AL240" s="151"/>
      <c r="AM240" s="151"/>
      <c r="AN240" s="151"/>
    </row>
    <row r="241" spans="1:40" ht="46.15" customHeight="1" x14ac:dyDescent="0.2">
      <c r="A241" s="21"/>
      <c r="B241" s="21"/>
      <c r="C241" s="21"/>
      <c r="D241" s="21"/>
      <c r="E241" s="21"/>
      <c r="F241" s="21"/>
      <c r="G241" s="21"/>
      <c r="H241" s="21"/>
      <c r="I241" s="112"/>
      <c r="J241" s="135"/>
      <c r="K241" s="134"/>
      <c r="L241" s="135"/>
      <c r="M241" s="135"/>
      <c r="N241" s="135"/>
      <c r="O241" s="288"/>
      <c r="P241" s="181"/>
      <c r="Q241" s="135"/>
      <c r="R241" s="135"/>
      <c r="S241" s="138"/>
      <c r="T241" s="135"/>
      <c r="U241" s="151"/>
      <c r="V241" s="135"/>
      <c r="W241" s="151"/>
      <c r="X241" s="135"/>
      <c r="Y241" s="217"/>
      <c r="Z241" s="151"/>
      <c r="AA241" s="69"/>
      <c r="AB241" s="151"/>
      <c r="AC241" s="151"/>
      <c r="AD241" s="151"/>
      <c r="AE241" s="151"/>
      <c r="AF241" s="151"/>
      <c r="AG241" s="151"/>
      <c r="AH241" s="151"/>
      <c r="AI241" s="151"/>
      <c r="AJ241" s="151"/>
      <c r="AK241" s="151"/>
      <c r="AL241" s="151"/>
      <c r="AM241" s="151"/>
      <c r="AN241" s="151"/>
    </row>
    <row r="242" spans="1:40" ht="46.15" customHeight="1" x14ac:dyDescent="0.2">
      <c r="A242" s="21"/>
      <c r="B242" s="21"/>
      <c r="C242" s="21"/>
      <c r="D242" s="21"/>
      <c r="E242" s="21"/>
      <c r="F242" s="21"/>
      <c r="G242" s="21"/>
      <c r="H242" s="21"/>
      <c r="I242" s="112"/>
      <c r="J242" s="135"/>
      <c r="K242" s="134"/>
      <c r="L242" s="135"/>
      <c r="M242" s="135"/>
      <c r="N242" s="135"/>
      <c r="O242" s="288"/>
      <c r="P242" s="181"/>
      <c r="Q242" s="135"/>
      <c r="R242" s="135"/>
      <c r="S242" s="138"/>
      <c r="T242" s="135"/>
      <c r="U242" s="151"/>
      <c r="V242" s="135"/>
      <c r="W242" s="151"/>
      <c r="X242" s="135"/>
      <c r="Y242" s="217"/>
      <c r="Z242" s="151"/>
      <c r="AA242" s="69"/>
      <c r="AB242" s="151"/>
      <c r="AC242" s="151"/>
      <c r="AD242" s="151"/>
      <c r="AE242" s="151"/>
      <c r="AF242" s="151"/>
      <c r="AG242" s="151"/>
      <c r="AH242" s="151"/>
      <c r="AI242" s="151"/>
      <c r="AJ242" s="151"/>
      <c r="AK242" s="151"/>
      <c r="AL242" s="151"/>
      <c r="AM242" s="151"/>
      <c r="AN242" s="151"/>
    </row>
    <row r="243" spans="1:40" ht="46.15" customHeight="1" x14ac:dyDescent="0.2">
      <c r="A243" s="21"/>
      <c r="B243" s="21"/>
      <c r="C243" s="21"/>
      <c r="D243" s="21"/>
      <c r="E243" s="21"/>
      <c r="F243" s="21"/>
      <c r="G243" s="21"/>
      <c r="H243" s="21"/>
      <c r="I243" s="112"/>
      <c r="J243" s="135"/>
      <c r="K243" s="134"/>
      <c r="L243" s="135"/>
      <c r="M243" s="135"/>
      <c r="N243" s="135"/>
      <c r="O243" s="288"/>
      <c r="P243" s="181"/>
      <c r="Q243" s="135"/>
      <c r="R243" s="135"/>
      <c r="S243" s="138"/>
      <c r="T243" s="135"/>
      <c r="U243" s="151"/>
      <c r="V243" s="135"/>
      <c r="W243" s="151"/>
      <c r="X243" s="135"/>
      <c r="Y243" s="217"/>
      <c r="Z243" s="151"/>
      <c r="AA243" s="69"/>
      <c r="AB243" s="151"/>
      <c r="AC243" s="151"/>
      <c r="AD243" s="151"/>
      <c r="AE243" s="151"/>
      <c r="AF243" s="151"/>
      <c r="AG243" s="151"/>
      <c r="AH243" s="151"/>
      <c r="AI243" s="151"/>
      <c r="AJ243" s="151"/>
      <c r="AK243" s="151"/>
      <c r="AL243" s="151"/>
      <c r="AM243" s="151"/>
      <c r="AN243" s="151"/>
    </row>
    <row r="244" spans="1:40" ht="46.15" customHeight="1" x14ac:dyDescent="0.2">
      <c r="A244" s="21"/>
      <c r="B244" s="21"/>
      <c r="C244" s="21"/>
      <c r="D244" s="21"/>
      <c r="E244" s="21"/>
      <c r="F244" s="21"/>
      <c r="G244" s="21"/>
      <c r="H244" s="21"/>
      <c r="I244" s="112"/>
      <c r="J244" s="135"/>
      <c r="K244" s="134"/>
      <c r="L244" s="135"/>
      <c r="M244" s="135"/>
      <c r="N244" s="135"/>
      <c r="O244" s="288"/>
      <c r="P244" s="181"/>
      <c r="Q244" s="135"/>
      <c r="R244" s="135"/>
      <c r="S244" s="138"/>
      <c r="T244" s="135"/>
      <c r="U244" s="151"/>
      <c r="V244" s="135"/>
      <c r="W244" s="151"/>
      <c r="X244" s="135"/>
      <c r="Y244" s="217"/>
      <c r="Z244" s="151"/>
      <c r="AA244" s="69"/>
      <c r="AB244" s="151"/>
      <c r="AC244" s="151"/>
      <c r="AD244" s="151"/>
      <c r="AE244" s="151"/>
      <c r="AF244" s="151"/>
      <c r="AG244" s="151"/>
      <c r="AH244" s="151"/>
      <c r="AI244" s="151"/>
      <c r="AJ244" s="151"/>
      <c r="AK244" s="151"/>
      <c r="AL244" s="151"/>
      <c r="AM244" s="151"/>
      <c r="AN244" s="151"/>
    </row>
    <row r="245" spans="1:40" ht="46.15" customHeight="1" x14ac:dyDescent="0.2">
      <c r="A245" s="21"/>
      <c r="B245" s="21"/>
      <c r="C245" s="21"/>
      <c r="D245" s="21"/>
      <c r="E245" s="21"/>
      <c r="F245" s="21"/>
      <c r="G245" s="21"/>
      <c r="H245" s="21"/>
      <c r="I245" s="112"/>
      <c r="J245" s="135"/>
      <c r="K245" s="134"/>
      <c r="L245" s="135"/>
      <c r="M245" s="135"/>
      <c r="N245" s="135"/>
      <c r="O245" s="288"/>
      <c r="P245" s="181"/>
      <c r="Q245" s="135"/>
      <c r="R245" s="135"/>
      <c r="S245" s="138"/>
      <c r="T245" s="135"/>
      <c r="U245" s="151"/>
      <c r="V245" s="135"/>
      <c r="W245" s="151"/>
      <c r="X245" s="135"/>
      <c r="Y245" s="217"/>
      <c r="Z245" s="151"/>
      <c r="AA245" s="69"/>
      <c r="AB245" s="151"/>
      <c r="AC245" s="151"/>
      <c r="AD245" s="151"/>
      <c r="AE245" s="151"/>
      <c r="AF245" s="151"/>
      <c r="AG245" s="151"/>
      <c r="AH245" s="151"/>
      <c r="AI245" s="151"/>
      <c r="AJ245" s="151"/>
      <c r="AK245" s="151"/>
      <c r="AL245" s="151"/>
      <c r="AM245" s="151"/>
      <c r="AN245" s="151"/>
    </row>
    <row r="246" spans="1:40" ht="46.15" customHeight="1" x14ac:dyDescent="0.2">
      <c r="A246" s="21"/>
      <c r="B246" s="21"/>
      <c r="C246" s="21"/>
      <c r="D246" s="21"/>
      <c r="E246" s="21"/>
      <c r="F246" s="21"/>
      <c r="G246" s="21"/>
      <c r="H246" s="21"/>
      <c r="I246" s="112"/>
      <c r="J246" s="135"/>
      <c r="K246" s="134"/>
      <c r="L246" s="135"/>
      <c r="M246" s="135"/>
      <c r="N246" s="135"/>
      <c r="O246" s="288"/>
      <c r="P246" s="181"/>
      <c r="Q246" s="135"/>
      <c r="R246" s="135"/>
      <c r="S246" s="138"/>
      <c r="T246" s="135"/>
      <c r="U246" s="151"/>
      <c r="V246" s="135"/>
      <c r="W246" s="151"/>
      <c r="X246" s="135"/>
      <c r="Y246" s="217"/>
      <c r="Z246" s="151"/>
      <c r="AA246" s="69"/>
      <c r="AB246" s="151"/>
      <c r="AC246" s="151"/>
      <c r="AD246" s="151"/>
      <c r="AE246" s="151"/>
      <c r="AF246" s="151"/>
      <c r="AG246" s="151"/>
      <c r="AH246" s="151"/>
      <c r="AI246" s="151"/>
      <c r="AJ246" s="151"/>
      <c r="AK246" s="151"/>
      <c r="AL246" s="151"/>
      <c r="AM246" s="151"/>
      <c r="AN246" s="151"/>
    </row>
  </sheetData>
  <mergeCells count="2">
    <mergeCell ref="A100:C100"/>
    <mergeCell ref="A101:G101"/>
  </mergeCells>
  <hyperlinks>
    <hyperlink ref="Y2" r:id="rId1" display="158@5,000.00        1 @ 275.00" xr:uid="{00000000-0004-0000-0500-000000000000}"/>
    <hyperlink ref="Y3" r:id="rId2" display="7@ 500.00              4 @ 850.00        7 @ 250.00" xr:uid="{00000000-0004-0000-0500-000001000000}"/>
    <hyperlink ref="Y25" r:id="rId3" display="20@ 160.00" xr:uid="{00000000-0004-0000-0500-000002000000}"/>
  </hyperlinks>
  <pageMargins left="0.28999999999999998" right="0.25" top="0.91" bottom="0.51" header="0.42" footer="0.21"/>
  <pageSetup scale="70" orientation="landscape" r:id="rId4"/>
  <headerFooter>
    <oddHeader>&amp;L&amp;"Arial,Bold"Iowa Law Enforcement Academy&amp;R&amp;"Arial,Bold"Justice System Appropriations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EMD</vt:lpstr>
      <vt:lpstr>Courts</vt:lpstr>
      <vt:lpstr>AG</vt:lpstr>
      <vt:lpstr>DOC</vt:lpstr>
      <vt:lpstr>DPS 2</vt:lpstr>
      <vt:lpstr>ILEA</vt:lpstr>
      <vt:lpstr>AG!Print_Area</vt:lpstr>
      <vt:lpstr>Courts!Print_Area</vt:lpstr>
      <vt:lpstr>DOC!Print_Area</vt:lpstr>
      <vt:lpstr>'DPS 2'!Print_Area</vt:lpstr>
      <vt:lpstr>EMD!Print_Area</vt:lpstr>
      <vt:lpstr>ILEA!Print_Area</vt:lpstr>
      <vt:lpstr>AG!Print_Titles</vt:lpstr>
      <vt:lpstr>DOC!Print_Titles</vt:lpstr>
      <vt:lpstr>'DPS 2'!Print_Titles</vt:lpstr>
      <vt:lpstr>ILEA!Print_Titles</vt:lpstr>
    </vt:vector>
  </TitlesOfParts>
  <Company>Iowa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Lerdal</dc:creator>
  <cp:lastModifiedBy>Waller, Isabel [LEGIS]</cp:lastModifiedBy>
  <cp:lastPrinted>2016-12-27T17:58:46Z</cp:lastPrinted>
  <dcterms:created xsi:type="dcterms:W3CDTF">2010-05-18T18:26:11Z</dcterms:created>
  <dcterms:modified xsi:type="dcterms:W3CDTF">2022-12-16T16:02:22Z</dcterms:modified>
</cp:coreProperties>
</file>